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kar\OneDrive\RAHANGDALE Sir\Gondia\Completed\Borkanar\First Reply\"/>
    </mc:Choice>
  </mc:AlternateContent>
  <bookViews>
    <workbookView xWindow="0" yWindow="0" windowWidth="20490" windowHeight="8655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Manpower Schedule" sheetId="9" r:id="rId13"/>
    <sheet name="weigh Bridge" sheetId="39" r:id="rId14"/>
    <sheet name="Opex Schedule" sheetId="10" r:id="rId15"/>
    <sheet name="WC Req" sheetId="23" state="hidden" r:id="rId16"/>
    <sheet name="Ammortization" sheetId="37" r:id="rId17"/>
    <sheet name="WC Assessment" sheetId="11" r:id="rId18"/>
    <sheet name="P&amp;L" sheetId="12" r:id="rId19"/>
    <sheet name="Tax" sheetId="14" r:id="rId20"/>
    <sheet name="BS" sheetId="15" r:id="rId21"/>
    <sheet name="CF" sheetId="16" r:id="rId22"/>
    <sheet name="TL Schedule" sheetId="24" state="hidden" r:id="rId23"/>
    <sheet name="Interest" sheetId="13" state="hidden" r:id="rId24"/>
    <sheet name="ROCE and Payback" sheetId="34" r:id="rId25"/>
    <sheet name="NPV" sheetId="30" r:id="rId26"/>
    <sheet name="IRR" sheetId="29" r:id="rId27"/>
    <sheet name="Debt Equity" sheetId="33" state="hidden" r:id="rId28"/>
    <sheet name="Break Even" sheetId="32" state="hidden" r:id="rId29"/>
    <sheet name="DSCR" sheetId="31" state="hidden" r:id="rId30"/>
    <sheet name="BEP &amp; DSCR" sheetId="17" r:id="rId31"/>
    <sheet name="Sheet19" sheetId="19" state="hidden" r:id="rId32"/>
    <sheet name="Sheet6" sheetId="25" state="hidden" r:id="rId33"/>
    <sheet name="Benefit-FPO-Producer" sheetId="26" state="hidden" r:id="rId34"/>
    <sheet name="Sheet2" sheetId="27" state="hidden" r:id="rId35"/>
    <sheet name="Economic Analysis" sheetId="28" state="hidden" r:id="rId36"/>
    <sheet name="Sheet9" sheetId="35" state="hidden" r:id="rId37"/>
    <sheet name="sensitivity" sheetId="36" r:id="rId38"/>
    <sheet name="Member Data" sheetId="38" r:id="rId39"/>
  </sheets>
  <externalReferences>
    <externalReference r:id="rId40"/>
    <externalReference r:id="rId41"/>
  </externalReferences>
  <definedNames>
    <definedName name="_xlnm.Print_Area" localSheetId="0">'Capital Cost'!$A$1:$C$39</definedName>
    <definedName name="_xlnm.Print_Area" localSheetId="26">IRR!$A$1:$K$28</definedName>
    <definedName name="_xlnm.Print_Area" localSheetId="14">'Opex Schedule'!$A$1:$L$42</definedName>
    <definedName name="_xlnm.Print_Area" localSheetId="5">'Output Schedule'!$A$1:$K$39</definedName>
    <definedName name="_xlnm.Print_Area" localSheetId="24">'ROCE and Payback'!$A$1:$K$19</definedName>
  </definedNames>
  <calcPr calcId="152511"/>
</workbook>
</file>

<file path=xl/calcChain.xml><?xml version="1.0" encoding="utf-8"?>
<calcChain xmlns="http://schemas.openxmlformats.org/spreadsheetml/2006/main">
  <c r="B4" i="6" l="1"/>
  <c r="B10" i="2"/>
  <c r="B3" i="37"/>
  <c r="C36" i="20"/>
  <c r="C12" i="20"/>
  <c r="A5" i="36" l="1"/>
  <c r="A18" i="36" s="1"/>
  <c r="A4" i="36"/>
  <c r="A17" i="36" s="1"/>
  <c r="A3" i="36"/>
  <c r="A16" i="36" s="1"/>
  <c r="E7" i="2"/>
  <c r="E9" i="2"/>
  <c r="E10" i="2"/>
  <c r="E11" i="2"/>
  <c r="E12" i="2"/>
  <c r="E5" i="2"/>
  <c r="C11" i="10"/>
  <c r="D11" i="10" s="1"/>
  <c r="E11" i="10" s="1"/>
  <c r="F11" i="10" s="1"/>
  <c r="G11" i="10" s="1"/>
  <c r="H11" i="10" s="1"/>
  <c r="I11" i="10" s="1"/>
  <c r="J11" i="10" s="1"/>
  <c r="K11" i="10" s="1"/>
  <c r="L11" i="10" s="1"/>
  <c r="B11" i="38"/>
  <c r="N7" i="10"/>
  <c r="Q16" i="10" s="1"/>
  <c r="C9" i="4" l="1"/>
  <c r="D9" i="4" s="1"/>
  <c r="E9" i="4" s="1"/>
  <c r="F9" i="4" s="1"/>
  <c r="G9" i="4" s="1"/>
  <c r="H9" i="4" s="1"/>
  <c r="I9" i="4" s="1"/>
  <c r="J9" i="4" s="1"/>
  <c r="K9" i="4" s="1"/>
  <c r="C8" i="4"/>
  <c r="D8" i="4" s="1"/>
  <c r="E8" i="4" s="1"/>
  <c r="F8" i="4" s="1"/>
  <c r="G8" i="4" s="1"/>
  <c r="H8" i="4" s="1"/>
  <c r="I8" i="4" s="1"/>
  <c r="J8" i="4" s="1"/>
  <c r="K8" i="4" s="1"/>
  <c r="A31" i="36" l="1"/>
  <c r="A44" i="36" s="1"/>
  <c r="K32" i="4" l="1"/>
  <c r="J32" i="4"/>
  <c r="I32" i="4"/>
  <c r="H32" i="4"/>
  <c r="G32" i="4"/>
  <c r="F32" i="4"/>
  <c r="E32" i="4"/>
  <c r="D32" i="4"/>
  <c r="C32" i="4"/>
  <c r="B32" i="4"/>
  <c r="K5" i="4"/>
  <c r="J5" i="4"/>
  <c r="I5" i="4"/>
  <c r="H5" i="4"/>
  <c r="G5" i="4"/>
  <c r="F5" i="4"/>
  <c r="E5" i="4"/>
  <c r="D5" i="4"/>
  <c r="C5" i="4"/>
  <c r="B5" i="4"/>
  <c r="Q5" i="10"/>
  <c r="B6" i="4" l="1"/>
  <c r="B7" i="4"/>
  <c r="F6" i="4"/>
  <c r="F7" i="4"/>
  <c r="J6" i="4"/>
  <c r="J7" i="4"/>
  <c r="C6" i="4"/>
  <c r="C7" i="4"/>
  <c r="G7" i="4"/>
  <c r="G6" i="4"/>
  <c r="K7" i="4"/>
  <c r="K6" i="4"/>
  <c r="D6" i="4"/>
  <c r="D7" i="4"/>
  <c r="H6" i="4"/>
  <c r="H7" i="4"/>
  <c r="E7" i="4"/>
  <c r="E6" i="4"/>
  <c r="I7" i="4"/>
  <c r="I6" i="4"/>
  <c r="D11" i="39"/>
  <c r="E11" i="39" s="1"/>
  <c r="F11" i="39" s="1"/>
  <c r="G11" i="39" s="1"/>
  <c r="H11" i="39" s="1"/>
  <c r="I11" i="39" s="1"/>
  <c r="J11" i="39" s="1"/>
  <c r="K11" i="39" s="1"/>
  <c r="L11" i="39" s="1"/>
  <c r="D9" i="39"/>
  <c r="E9" i="39" s="1"/>
  <c r="E6" i="39"/>
  <c r="F6" i="39" s="1"/>
  <c r="D6" i="39"/>
  <c r="D4" i="39"/>
  <c r="E4" i="39" s="1"/>
  <c r="F4" i="39" s="1"/>
  <c r="G4" i="39" s="1"/>
  <c r="H4" i="39" s="1"/>
  <c r="I4" i="39" s="1"/>
  <c r="J4" i="39" s="1"/>
  <c r="K4" i="39" s="1"/>
  <c r="L4" i="39" s="1"/>
  <c r="F9" i="39" l="1"/>
  <c r="G6" i="39"/>
  <c r="G9" i="39" l="1"/>
  <c r="H6" i="39"/>
  <c r="H9" i="39" l="1"/>
  <c r="I6" i="39"/>
  <c r="I9" i="39" l="1"/>
  <c r="J6" i="39"/>
  <c r="J9" i="39" l="1"/>
  <c r="K6" i="39"/>
  <c r="K9" i="39" l="1"/>
  <c r="L6" i="39"/>
  <c r="L9" i="39" l="1"/>
  <c r="C8" i="10" l="1"/>
  <c r="B8" i="2"/>
  <c r="E8" i="2" s="1"/>
  <c r="C37" i="20"/>
  <c r="C4" i="38" l="1"/>
  <c r="C5" i="38" s="1"/>
  <c r="C11" i="38" s="1"/>
  <c r="C10" i="38" s="1"/>
  <c r="D8" i="10"/>
  <c r="E8" i="10" s="1"/>
  <c r="F8" i="10" s="1"/>
  <c r="G8" i="10" s="1"/>
  <c r="H8" i="10" s="1"/>
  <c r="I8" i="10" s="1"/>
  <c r="J8" i="10" s="1"/>
  <c r="K8" i="10" s="1"/>
  <c r="L8" i="10" s="1"/>
  <c r="C7" i="10"/>
  <c r="D4" i="38" l="1"/>
  <c r="E4" i="38" s="1"/>
  <c r="F4" i="38" s="1"/>
  <c r="G4" i="38" s="1"/>
  <c r="H4" i="38" s="1"/>
  <c r="I4" i="38" s="1"/>
  <c r="J4" i="38" s="1"/>
  <c r="K4" i="38" s="1"/>
  <c r="C13" i="38"/>
  <c r="C15" i="38" s="1"/>
  <c r="B13" i="38"/>
  <c r="B15" i="38" s="1"/>
  <c r="C15" i="10"/>
  <c r="C14" i="10"/>
  <c r="A19" i="36"/>
  <c r="A32" i="36" s="1"/>
  <c r="A45" i="36" s="1"/>
  <c r="C54" i="18"/>
  <c r="C51" i="7"/>
  <c r="C15" i="8"/>
  <c r="D32" i="7"/>
  <c r="D54" i="18" s="1"/>
  <c r="D31" i="7"/>
  <c r="E31" i="7" s="1"/>
  <c r="F31" i="7" s="1"/>
  <c r="G31" i="7" s="1"/>
  <c r="H31" i="7" s="1"/>
  <c r="I31" i="7" s="1"/>
  <c r="J31" i="7" s="1"/>
  <c r="K31" i="7" s="1"/>
  <c r="L31" i="7" s="1"/>
  <c r="D30" i="7"/>
  <c r="E30" i="7" s="1"/>
  <c r="F30" i="7" s="1"/>
  <c r="G30" i="7" s="1"/>
  <c r="H30" i="7" s="1"/>
  <c r="I30" i="7" s="1"/>
  <c r="J30" i="7" s="1"/>
  <c r="K30" i="7" s="1"/>
  <c r="L30" i="7" s="1"/>
  <c r="D29" i="7"/>
  <c r="E29" i="7" s="1"/>
  <c r="F29" i="7" s="1"/>
  <c r="G29" i="7" s="1"/>
  <c r="H29" i="7" s="1"/>
  <c r="I29" i="7" s="1"/>
  <c r="J29" i="7" s="1"/>
  <c r="K29" i="7" s="1"/>
  <c r="L29" i="7" s="1"/>
  <c r="B16" i="7"/>
  <c r="C23" i="7"/>
  <c r="C21" i="18"/>
  <c r="C20" i="18"/>
  <c r="C18" i="18"/>
  <c r="B21" i="18"/>
  <c r="B20" i="18"/>
  <c r="B19" i="18"/>
  <c r="B18" i="18"/>
  <c r="N29" i="4"/>
  <c r="A30" i="4"/>
  <c r="B22" i="7" s="1"/>
  <c r="A29" i="4"/>
  <c r="A28" i="4"/>
  <c r="B10" i="7" s="1"/>
  <c r="A27" i="4"/>
  <c r="D5" i="38" l="1"/>
  <c r="D15" i="8"/>
  <c r="E32" i="7"/>
  <c r="B32" i="7"/>
  <c r="B54" i="18" s="1"/>
  <c r="B46" i="7"/>
  <c r="B14" i="8"/>
  <c r="E5" i="38" l="1"/>
  <c r="D11" i="38"/>
  <c r="D10" i="38" s="1"/>
  <c r="D13" i="38" s="1"/>
  <c r="D15" i="38" s="1"/>
  <c r="F32" i="7"/>
  <c r="E54" i="18"/>
  <c r="E15" i="8"/>
  <c r="A30" i="36"/>
  <c r="A43" i="36" s="1"/>
  <c r="A29" i="36"/>
  <c r="A42" i="36" s="1"/>
  <c r="F5" i="38" l="1"/>
  <c r="E11" i="38"/>
  <c r="E10" i="38" s="1"/>
  <c r="G32" i="7"/>
  <c r="F15" i="8"/>
  <c r="F54" i="18"/>
  <c r="C11" i="5"/>
  <c r="D11" i="5" s="1"/>
  <c r="E11" i="5" s="1"/>
  <c r="F11" i="5" s="1"/>
  <c r="G11" i="5" s="1"/>
  <c r="H11" i="5" s="1"/>
  <c r="I11" i="5" s="1"/>
  <c r="J11" i="5" s="1"/>
  <c r="K11" i="5" s="1"/>
  <c r="E13" i="38" l="1"/>
  <c r="E15" i="38" s="1"/>
  <c r="G5" i="38"/>
  <c r="F11" i="38"/>
  <c r="F10" i="38" s="1"/>
  <c r="H32" i="7"/>
  <c r="G15" i="8"/>
  <c r="G54" i="18"/>
  <c r="F13" i="38" l="1"/>
  <c r="F15" i="38" s="1"/>
  <c r="H5" i="38"/>
  <c r="G11" i="38"/>
  <c r="G10" i="38" s="1"/>
  <c r="I32" i="7"/>
  <c r="H54" i="18"/>
  <c r="H15" i="8"/>
  <c r="G13" i="38" l="1"/>
  <c r="G15" i="38" s="1"/>
  <c r="I5" i="38"/>
  <c r="H11" i="38"/>
  <c r="H10" i="38" s="1"/>
  <c r="J32" i="7"/>
  <c r="I54" i="18"/>
  <c r="I15" i="8"/>
  <c r="N28" i="4"/>
  <c r="N30" i="4"/>
  <c r="N27" i="4"/>
  <c r="H13" i="38" l="1"/>
  <c r="H15" i="38" s="1"/>
  <c r="I11" i="38"/>
  <c r="I10" i="38" s="1"/>
  <c r="K32" i="7"/>
  <c r="J15" i="8"/>
  <c r="J54" i="18"/>
  <c r="N32" i="4"/>
  <c r="I52" i="17"/>
  <c r="I56" i="17"/>
  <c r="J56" i="17"/>
  <c r="K56" i="17"/>
  <c r="K24" i="16"/>
  <c r="L24" i="16"/>
  <c r="M24" i="16"/>
  <c r="K26" i="16"/>
  <c r="L26" i="16"/>
  <c r="J20" i="15"/>
  <c r="L25" i="16" s="1"/>
  <c r="K20" i="15"/>
  <c r="M25" i="16" s="1"/>
  <c r="L20" i="15"/>
  <c r="I30" i="12"/>
  <c r="I37" i="17" s="1"/>
  <c r="J30" i="12"/>
  <c r="J52" i="17" s="1"/>
  <c r="K30" i="12"/>
  <c r="M26" i="16" s="1"/>
  <c r="B27" i="12"/>
  <c r="C5" i="37" s="1"/>
  <c r="H10" i="31"/>
  <c r="B13" i="30"/>
  <c r="C13" i="30" s="1"/>
  <c r="D13" i="30" s="1"/>
  <c r="E13" i="30" s="1"/>
  <c r="F13" i="30" s="1"/>
  <c r="G13" i="30" s="1"/>
  <c r="H13" i="30" s="1"/>
  <c r="I13" i="30" s="1"/>
  <c r="J13" i="30" s="1"/>
  <c r="K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K37" i="17" l="1"/>
  <c r="J37" i="17"/>
  <c r="K52" i="17"/>
  <c r="C27" i="12"/>
  <c r="I13" i="38"/>
  <c r="I15" i="38" s="1"/>
  <c r="K11" i="38"/>
  <c r="J11" i="38"/>
  <c r="J10" i="38" s="1"/>
  <c r="L32" i="7"/>
  <c r="K15" i="8"/>
  <c r="K54" i="18"/>
  <c r="K22" i="29"/>
  <c r="K12" i="29"/>
  <c r="D5" i="37" l="1"/>
  <c r="D27" i="12"/>
  <c r="K10" i="38"/>
  <c r="K13" i="38" s="1"/>
  <c r="K15" i="38" s="1"/>
  <c r="J13" i="38"/>
  <c r="J15" i="38" s="1"/>
  <c r="L54" i="18"/>
  <c r="L15" i="8"/>
  <c r="E27" i="12" l="1"/>
  <c r="E5" i="37"/>
  <c r="B12" i="5"/>
  <c r="F27" i="12" l="1"/>
  <c r="F5" i="37"/>
  <c r="B17" i="28"/>
  <c r="C17" i="28" s="1"/>
  <c r="D17" i="28" s="1"/>
  <c r="E17" i="28" s="1"/>
  <c r="F17" i="28" s="1"/>
  <c r="G17" i="28" s="1"/>
  <c r="H17" i="28" s="1"/>
  <c r="B5" i="28"/>
  <c r="G27" i="12" l="1"/>
  <c r="G5" i="37"/>
  <c r="B4" i="7"/>
  <c r="B29" i="7" s="1"/>
  <c r="C46" i="18"/>
  <c r="C45" i="18"/>
  <c r="H27" i="12" l="1"/>
  <c r="H5" i="37"/>
  <c r="C12" i="5"/>
  <c r="I27" i="12" l="1"/>
  <c r="I5" i="37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J27" i="12" l="1"/>
  <c r="J5" i="37"/>
  <c r="I8" i="14"/>
  <c r="I53" i="17"/>
  <c r="I8" i="29"/>
  <c r="I40" i="17"/>
  <c r="I9" i="30"/>
  <c r="B6" i="31"/>
  <c r="B9" i="30"/>
  <c r="B8" i="29"/>
  <c r="J26" i="16"/>
  <c r="H7" i="31"/>
  <c r="H9" i="31" s="1"/>
  <c r="C32" i="15"/>
  <c r="E12" i="5"/>
  <c r="B7" i="17"/>
  <c r="B40" i="17"/>
  <c r="B53" i="17"/>
  <c r="K27" i="12" l="1"/>
  <c r="K5" i="37"/>
  <c r="J40" i="17"/>
  <c r="J9" i="30"/>
  <c r="J8" i="14"/>
  <c r="J53" i="17"/>
  <c r="J8" i="29"/>
  <c r="F12" i="5"/>
  <c r="L5" i="37" l="1"/>
  <c r="K53" i="17"/>
  <c r="K8" i="29"/>
  <c r="K40" i="17"/>
  <c r="K9" i="30"/>
  <c r="K8" i="14"/>
  <c r="G12" i="5"/>
  <c r="H6" i="22"/>
  <c r="G6" i="22"/>
  <c r="H5" i="22"/>
  <c r="G5" i="22"/>
  <c r="G9" i="22"/>
  <c r="G8" i="22"/>
  <c r="G7" i="22"/>
  <c r="H8" i="22"/>
  <c r="B7" i="12" l="1"/>
  <c r="H9" i="22"/>
  <c r="H7" i="22"/>
  <c r="I4" i="22"/>
  <c r="H12" i="5" l="1"/>
  <c r="E15" i="18"/>
  <c r="I5" i="22"/>
  <c r="I6" i="22"/>
  <c r="C7" i="12"/>
  <c r="I9" i="22"/>
  <c r="I8" i="22"/>
  <c r="J4" i="22"/>
  <c r="I7" i="22"/>
  <c r="I12" i="5" l="1"/>
  <c r="F15" i="18"/>
  <c r="J5" i="22"/>
  <c r="J6" i="22"/>
  <c r="D7" i="12"/>
  <c r="J9" i="22"/>
  <c r="J8" i="22"/>
  <c r="K4" i="22"/>
  <c r="J7" i="22"/>
  <c r="I4" i="6" l="1"/>
  <c r="K12" i="5"/>
  <c r="J12" i="5"/>
  <c r="G15" i="18"/>
  <c r="K5" i="22"/>
  <c r="K6" i="22"/>
  <c r="E7" i="12"/>
  <c r="K7" i="22"/>
  <c r="K9" i="22"/>
  <c r="K8" i="22"/>
  <c r="L4" i="22"/>
  <c r="J4" i="6" l="1"/>
  <c r="K4" i="6"/>
  <c r="J34" i="18"/>
  <c r="H15" i="18"/>
  <c r="L6" i="22"/>
  <c r="L5" i="22"/>
  <c r="F7" i="12"/>
  <c r="L8" i="22"/>
  <c r="M4" i="22"/>
  <c r="L7" i="22"/>
  <c r="L9" i="22"/>
  <c r="L34" i="18" l="1"/>
  <c r="K34" i="18"/>
  <c r="I15" i="18"/>
  <c r="M5" i="22"/>
  <c r="M6" i="22"/>
  <c r="G7" i="12"/>
  <c r="M9" i="22"/>
  <c r="M8" i="22"/>
  <c r="M7" i="22"/>
  <c r="H7" i="12" l="1"/>
  <c r="C3" i="21" l="1"/>
  <c r="C37" i="18"/>
  <c r="B12" i="6"/>
  <c r="C26" i="10"/>
  <c r="B10" i="23"/>
  <c r="D37" i="18" l="1"/>
  <c r="C12" i="6"/>
  <c r="D26" i="10"/>
  <c r="C10" i="23"/>
  <c r="D3" i="21"/>
  <c r="C52" i="18"/>
  <c r="C53" i="18"/>
  <c r="C51" i="18"/>
  <c r="B51" i="18"/>
  <c r="C43" i="18"/>
  <c r="B25" i="18"/>
  <c r="B27" i="18"/>
  <c r="B24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D7" i="10"/>
  <c r="E7" i="10" s="1"/>
  <c r="F7" i="10" s="1"/>
  <c r="G7" i="10" s="1"/>
  <c r="H7" i="10" s="1"/>
  <c r="I7" i="10" s="1"/>
  <c r="J7" i="10" s="1"/>
  <c r="K7" i="10" s="1"/>
  <c r="L7" i="10" s="1"/>
  <c r="C6" i="10"/>
  <c r="D6" i="10" s="1"/>
  <c r="C25" i="10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D25" i="10" l="1"/>
  <c r="E25" i="10" s="1"/>
  <c r="F25" i="10" s="1"/>
  <c r="G25" i="10" s="1"/>
  <c r="H25" i="10" s="1"/>
  <c r="I25" i="10" s="1"/>
  <c r="J25" i="10" s="1"/>
  <c r="K25" i="10" s="1"/>
  <c r="L25" i="10" s="1"/>
  <c r="B6" i="2"/>
  <c r="E6" i="2" s="1"/>
  <c r="E37" i="18"/>
  <c r="E26" i="10"/>
  <c r="D12" i="6"/>
  <c r="D10" i="23"/>
  <c r="E3" i="21"/>
  <c r="E6" i="10"/>
  <c r="N13" i="10" l="1"/>
  <c r="O16" i="10"/>
  <c r="C15" i="16"/>
  <c r="C32" i="16" s="1"/>
  <c r="F37" i="18"/>
  <c r="E12" i="6"/>
  <c r="F26" i="10"/>
  <c r="E10" i="23"/>
  <c r="F3" i="21"/>
  <c r="C5" i="3"/>
  <c r="F6" i="10"/>
  <c r="C23" i="10" l="1"/>
  <c r="G3" i="21"/>
  <c r="G37" i="18"/>
  <c r="G26" i="10"/>
  <c r="F12" i="6"/>
  <c r="F10" i="23"/>
  <c r="B28" i="15"/>
  <c r="B30" i="15" s="1"/>
  <c r="C10" i="3"/>
  <c r="G6" i="10"/>
  <c r="H3" i="21" l="1"/>
  <c r="H37" i="18"/>
  <c r="H26" i="10"/>
  <c r="G12" i="6"/>
  <c r="G10" i="23"/>
  <c r="H6" i="10"/>
  <c r="I37" i="18" l="1"/>
  <c r="H12" i="6"/>
  <c r="I26" i="10"/>
  <c r="H10" i="23"/>
  <c r="I6" i="10"/>
  <c r="J6" i="10" s="1"/>
  <c r="K6" i="10" s="1"/>
  <c r="L6" i="10" s="1"/>
  <c r="E18" i="9" l="1"/>
  <c r="G17" i="9"/>
  <c r="G16" i="9"/>
  <c r="G13" i="9"/>
  <c r="G12" i="9"/>
  <c r="G11" i="9"/>
  <c r="G9" i="9"/>
  <c r="G8" i="9"/>
  <c r="G7" i="9"/>
  <c r="G6" i="9"/>
  <c r="G5" i="9"/>
  <c r="G4" i="9"/>
  <c r="G3" i="9"/>
  <c r="C11" i="8"/>
  <c r="B10" i="8"/>
  <c r="C7" i="8"/>
  <c r="C3" i="8"/>
  <c r="B11" i="12"/>
  <c r="B42" i="7"/>
  <c r="B31" i="7"/>
  <c r="B53" i="18" s="1"/>
  <c r="C17" i="7"/>
  <c r="C11" i="7"/>
  <c r="B38" i="7"/>
  <c r="C5" i="7"/>
  <c r="B34" i="7"/>
  <c r="C34" i="18"/>
  <c r="C24" i="10" l="1"/>
  <c r="G18" i="9"/>
  <c r="C13" i="10"/>
  <c r="D51" i="18"/>
  <c r="D53" i="18"/>
  <c r="B6" i="8"/>
  <c r="B2" i="8"/>
  <c r="D52" i="18"/>
  <c r="D7" i="8"/>
  <c r="D11" i="8"/>
  <c r="D3" i="8"/>
  <c r="B30" i="7"/>
  <c r="B52" i="18" s="1"/>
  <c r="D13" i="10" l="1"/>
  <c r="C17" i="10"/>
  <c r="C18" i="10" s="1"/>
  <c r="D24" i="10"/>
  <c r="E51" i="18"/>
  <c r="E3" i="8"/>
  <c r="E53" i="18"/>
  <c r="E11" i="8"/>
  <c r="E52" i="18"/>
  <c r="E7" i="8"/>
  <c r="E24" i="10" l="1"/>
  <c r="E13" i="10"/>
  <c r="D17" i="10"/>
  <c r="D18" i="10" s="1"/>
  <c r="F51" i="18"/>
  <c r="F3" i="8"/>
  <c r="F11" i="8"/>
  <c r="F53" i="18"/>
  <c r="G52" i="18"/>
  <c r="G7" i="8"/>
  <c r="F52" i="18"/>
  <c r="F7" i="8"/>
  <c r="F24" i="10" l="1"/>
  <c r="E17" i="10"/>
  <c r="E18" i="10" s="1"/>
  <c r="F13" i="10"/>
  <c r="G51" i="18"/>
  <c r="G3" i="8"/>
  <c r="G11" i="8"/>
  <c r="G53" i="18"/>
  <c r="H52" i="18"/>
  <c r="H7" i="8"/>
  <c r="J7" i="8" l="1"/>
  <c r="J52" i="18"/>
  <c r="G24" i="10"/>
  <c r="F17" i="10"/>
  <c r="F18" i="10" s="1"/>
  <c r="G13" i="10"/>
  <c r="H51" i="18"/>
  <c r="H3" i="8"/>
  <c r="H11" i="8"/>
  <c r="H53" i="18"/>
  <c r="I52" i="18"/>
  <c r="I7" i="8"/>
  <c r="D8" i="1"/>
  <c r="C4" i="6"/>
  <c r="D34" i="18" s="1"/>
  <c r="J53" i="18" l="1"/>
  <c r="J11" i="8"/>
  <c r="K7" i="8"/>
  <c r="K52" i="18"/>
  <c r="J51" i="18"/>
  <c r="J3" i="8"/>
  <c r="H24" i="10"/>
  <c r="H13" i="10"/>
  <c r="G17" i="10"/>
  <c r="G18" i="10" s="1"/>
  <c r="D14" i="18"/>
  <c r="I3" i="8"/>
  <c r="I51" i="18"/>
  <c r="I11" i="8"/>
  <c r="I53" i="18"/>
  <c r="E13" i="18"/>
  <c r="D4" i="6"/>
  <c r="E34" i="18" s="1"/>
  <c r="K53" i="18" l="1"/>
  <c r="K11" i="8"/>
  <c r="L52" i="18"/>
  <c r="L7" i="8"/>
  <c r="K3" i="8"/>
  <c r="K51" i="18"/>
  <c r="I24" i="10"/>
  <c r="H17" i="10"/>
  <c r="H18" i="10" s="1"/>
  <c r="I13" i="10"/>
  <c r="J13" i="10" s="1"/>
  <c r="F13" i="18"/>
  <c r="E4" i="6"/>
  <c r="F34" i="18" s="1"/>
  <c r="L53" i="18" l="1"/>
  <c r="L11" i="8"/>
  <c r="L3" i="8"/>
  <c r="L51" i="18"/>
  <c r="K13" i="10"/>
  <c r="J17" i="10"/>
  <c r="J18" i="10"/>
  <c r="J24" i="10"/>
  <c r="I17" i="10"/>
  <c r="I18" i="10" s="1"/>
  <c r="E14" i="18"/>
  <c r="G13" i="18"/>
  <c r="F4" i="6"/>
  <c r="G34" i="18" s="1"/>
  <c r="K24" i="10" l="1"/>
  <c r="K17" i="10"/>
  <c r="K18" i="10" s="1"/>
  <c r="L13" i="10"/>
  <c r="F14" i="18"/>
  <c r="C11" i="23"/>
  <c r="H13" i="18"/>
  <c r="G4" i="6"/>
  <c r="H34" i="18" s="1"/>
  <c r="L17" i="10" l="1"/>
  <c r="L18" i="10" s="1"/>
  <c r="L24" i="10"/>
  <c r="G14" i="18"/>
  <c r="H4" i="6"/>
  <c r="I34" i="18" s="1"/>
  <c r="J13" i="18" l="1"/>
  <c r="I12" i="4"/>
  <c r="H14" i="18"/>
  <c r="I13" i="18"/>
  <c r="J14" i="18" l="1"/>
  <c r="I17" i="4"/>
  <c r="I17" i="38" s="1"/>
  <c r="I34" i="4"/>
  <c r="K13" i="18"/>
  <c r="J12" i="4"/>
  <c r="I14" i="18"/>
  <c r="C13" i="4"/>
  <c r="D43" i="18" s="1"/>
  <c r="I23" i="4" l="1"/>
  <c r="I22" i="4"/>
  <c r="I21" i="4"/>
  <c r="J34" i="10"/>
  <c r="I20" i="4"/>
  <c r="I29" i="4"/>
  <c r="J18" i="7" s="1"/>
  <c r="J37" i="10"/>
  <c r="J24" i="18"/>
  <c r="I27" i="4"/>
  <c r="J6" i="7" s="1"/>
  <c r="I35" i="4"/>
  <c r="J25" i="18" s="1"/>
  <c r="I30" i="4"/>
  <c r="I7" i="5"/>
  <c r="I28" i="4"/>
  <c r="J12" i="7" s="1"/>
  <c r="J34" i="4"/>
  <c r="E17" i="4"/>
  <c r="D17" i="4"/>
  <c r="L13" i="18"/>
  <c r="K12" i="4"/>
  <c r="K14" i="18"/>
  <c r="J17" i="4"/>
  <c r="J17" i="38" s="1"/>
  <c r="D11" i="23"/>
  <c r="F24" i="16"/>
  <c r="D13" i="4"/>
  <c r="E43" i="18" s="1"/>
  <c r="F12" i="4"/>
  <c r="F17" i="4"/>
  <c r="C12" i="4"/>
  <c r="C17" i="4"/>
  <c r="D12" i="4"/>
  <c r="G12" i="4"/>
  <c r="G17" i="4"/>
  <c r="H12" i="4"/>
  <c r="H17" i="4"/>
  <c r="B12" i="4"/>
  <c r="B17" i="4"/>
  <c r="E12" i="4"/>
  <c r="H17" i="38" l="1"/>
  <c r="G17" i="38"/>
  <c r="D17" i="38"/>
  <c r="C17" i="38"/>
  <c r="E17" i="38"/>
  <c r="F17" i="38"/>
  <c r="B17" i="38"/>
  <c r="G21" i="4"/>
  <c r="H34" i="10"/>
  <c r="G20" i="4"/>
  <c r="G23" i="4"/>
  <c r="G22" i="4"/>
  <c r="E23" i="4"/>
  <c r="E22" i="4"/>
  <c r="E21" i="4"/>
  <c r="F34" i="10"/>
  <c r="E20" i="4"/>
  <c r="F22" i="4"/>
  <c r="F21" i="4"/>
  <c r="G34" i="10"/>
  <c r="F20" i="4"/>
  <c r="F23" i="4"/>
  <c r="I34" i="10"/>
  <c r="H20" i="4"/>
  <c r="H23" i="4"/>
  <c r="H22" i="4"/>
  <c r="H21" i="4"/>
  <c r="J22" i="4"/>
  <c r="J21" i="4"/>
  <c r="K34" i="10"/>
  <c r="J20" i="4"/>
  <c r="J23" i="4"/>
  <c r="C21" i="4"/>
  <c r="D34" i="10"/>
  <c r="C20" i="4"/>
  <c r="C23" i="4"/>
  <c r="C22" i="4"/>
  <c r="E34" i="10"/>
  <c r="D20" i="4"/>
  <c r="D23" i="4"/>
  <c r="D22" i="4"/>
  <c r="D21" i="4"/>
  <c r="B23" i="4"/>
  <c r="C37" i="10"/>
  <c r="B22" i="4"/>
  <c r="B21" i="4"/>
  <c r="C34" i="10"/>
  <c r="B20" i="4"/>
  <c r="G29" i="4"/>
  <c r="H18" i="7" s="1"/>
  <c r="H37" i="10"/>
  <c r="E29" i="4"/>
  <c r="F18" i="7" s="1"/>
  <c r="F37" i="10"/>
  <c r="F29" i="4"/>
  <c r="G18" i="7" s="1"/>
  <c r="G37" i="10"/>
  <c r="H29" i="4"/>
  <c r="I18" i="7" s="1"/>
  <c r="I37" i="10"/>
  <c r="J29" i="4"/>
  <c r="K18" i="7" s="1"/>
  <c r="K37" i="10"/>
  <c r="C29" i="4"/>
  <c r="D18" i="7" s="1"/>
  <c r="D37" i="10"/>
  <c r="D29" i="4"/>
  <c r="E18" i="7" s="1"/>
  <c r="E37" i="10"/>
  <c r="B29" i="4"/>
  <c r="C18" i="7" s="1"/>
  <c r="C20" i="7" s="1"/>
  <c r="G4" i="28"/>
  <c r="G6" i="28" s="1"/>
  <c r="G7" i="28" s="1"/>
  <c r="G8" i="28" s="1"/>
  <c r="H4" i="28"/>
  <c r="H6" i="28" s="1"/>
  <c r="H7" i="28" s="1"/>
  <c r="H8" i="28" s="1"/>
  <c r="J24" i="7"/>
  <c r="J26" i="7" s="1"/>
  <c r="I37" i="4"/>
  <c r="J40" i="10" s="1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24" i="18"/>
  <c r="I8" i="5"/>
  <c r="L14" i="18"/>
  <c r="K17" i="4"/>
  <c r="K17" i="38" s="1"/>
  <c r="K34" i="4"/>
  <c r="J27" i="4"/>
  <c r="K6" i="7" s="1"/>
  <c r="J28" i="4"/>
  <c r="K12" i="7" s="1"/>
  <c r="J30" i="4"/>
  <c r="J35" i="4"/>
  <c r="K25" i="18" s="1"/>
  <c r="J7" i="5"/>
  <c r="B4" i="28"/>
  <c r="B6" i="28" s="1"/>
  <c r="B7" i="28" s="1"/>
  <c r="B8" i="28" s="1"/>
  <c r="C14" i="4"/>
  <c r="C6" i="12" s="1"/>
  <c r="E35" i="4"/>
  <c r="F25" i="18" s="1"/>
  <c r="E27" i="4"/>
  <c r="F6" i="7" s="1"/>
  <c r="E7" i="5"/>
  <c r="E8" i="5" s="1"/>
  <c r="E30" i="4"/>
  <c r="E28" i="4"/>
  <c r="F12" i="7" s="1"/>
  <c r="H35" i="4"/>
  <c r="I25" i="18" s="1"/>
  <c r="H27" i="4"/>
  <c r="I6" i="7" s="1"/>
  <c r="H7" i="5"/>
  <c r="H30" i="4"/>
  <c r="H28" i="4"/>
  <c r="I12" i="7" s="1"/>
  <c r="D28" i="4"/>
  <c r="E12" i="7" s="1"/>
  <c r="D30" i="4"/>
  <c r="D35" i="4"/>
  <c r="E25" i="18" s="1"/>
  <c r="D7" i="5"/>
  <c r="D8" i="5" s="1"/>
  <c r="D27" i="4"/>
  <c r="E6" i="7" s="1"/>
  <c r="F7" i="5"/>
  <c r="F8" i="5" s="1"/>
  <c r="F27" i="4"/>
  <c r="G6" i="7" s="1"/>
  <c r="F30" i="4"/>
  <c r="F35" i="4"/>
  <c r="G25" i="18" s="1"/>
  <c r="F28" i="4"/>
  <c r="G12" i="7" s="1"/>
  <c r="E4" i="28"/>
  <c r="E6" i="28" s="1"/>
  <c r="E7" i="28" s="1"/>
  <c r="E8" i="28" s="1"/>
  <c r="E24" i="4"/>
  <c r="B27" i="4"/>
  <c r="C6" i="7" s="1"/>
  <c r="C8" i="7" s="1"/>
  <c r="B35" i="4"/>
  <c r="C25" i="18" s="1"/>
  <c r="B7" i="5"/>
  <c r="B28" i="4"/>
  <c r="C12" i="7" s="1"/>
  <c r="C14" i="7" s="1"/>
  <c r="B30" i="4"/>
  <c r="C24" i="7" s="1"/>
  <c r="G27" i="4"/>
  <c r="H6" i="7" s="1"/>
  <c r="G35" i="4"/>
  <c r="H25" i="18" s="1"/>
  <c r="G7" i="5"/>
  <c r="G8" i="5" s="1"/>
  <c r="G28" i="4"/>
  <c r="H12" i="7" s="1"/>
  <c r="G30" i="4"/>
  <c r="C30" i="4"/>
  <c r="C27" i="4"/>
  <c r="D6" i="7" s="1"/>
  <c r="C35" i="4"/>
  <c r="D25" i="18" s="1"/>
  <c r="C7" i="5"/>
  <c r="C8" i="5" s="1"/>
  <c r="C28" i="4"/>
  <c r="D12" i="7" s="1"/>
  <c r="F11" i="23"/>
  <c r="H24" i="16"/>
  <c r="E11" i="23"/>
  <c r="G24" i="16"/>
  <c r="D34" i="4"/>
  <c r="C24" i="4"/>
  <c r="E13" i="4"/>
  <c r="F43" i="18" s="1"/>
  <c r="C34" i="4"/>
  <c r="E34" i="4"/>
  <c r="D14" i="4"/>
  <c r="D6" i="12" s="1"/>
  <c r="B34" i="4"/>
  <c r="B14" i="4"/>
  <c r="B6" i="12" s="1"/>
  <c r="D24" i="4"/>
  <c r="F34" i="4"/>
  <c r="F24" i="4"/>
  <c r="J38" i="10" l="1"/>
  <c r="J31" i="10"/>
  <c r="J27" i="18"/>
  <c r="J5" i="39"/>
  <c r="K21" i="4"/>
  <c r="L34" i="10"/>
  <c r="K20" i="4"/>
  <c r="K23" i="4"/>
  <c r="K22" i="4"/>
  <c r="K29" i="4"/>
  <c r="L18" i="7" s="1"/>
  <c r="L37" i="10"/>
  <c r="D4" i="36"/>
  <c r="D43" i="36"/>
  <c r="D30" i="36"/>
  <c r="D17" i="36"/>
  <c r="C4" i="36"/>
  <c r="C17" i="36"/>
  <c r="C43" i="36"/>
  <c r="C30" i="36"/>
  <c r="J32" i="10"/>
  <c r="B30" i="36"/>
  <c r="B17" i="36"/>
  <c r="B43" i="36"/>
  <c r="B4" i="36"/>
  <c r="D24" i="7"/>
  <c r="D26" i="7" s="1"/>
  <c r="F24" i="7"/>
  <c r="F26" i="7" s="1"/>
  <c r="H24" i="7"/>
  <c r="H26" i="7" s="1"/>
  <c r="E24" i="7"/>
  <c r="E26" i="7" s="1"/>
  <c r="I24" i="7"/>
  <c r="I26" i="7" s="1"/>
  <c r="K24" i="7"/>
  <c r="K26" i="7" s="1"/>
  <c r="K23" i="7"/>
  <c r="J48" i="7"/>
  <c r="K47" i="7" s="1"/>
  <c r="G24" i="7"/>
  <c r="G26" i="7" s="1"/>
  <c r="C26" i="7"/>
  <c r="C25" i="7" s="1"/>
  <c r="C14" i="8" s="1"/>
  <c r="C16" i="8" s="1"/>
  <c r="L24" i="18"/>
  <c r="K35" i="4"/>
  <c r="L25" i="18" s="1"/>
  <c r="K7" i="5"/>
  <c r="K27" i="4"/>
  <c r="L6" i="7" s="1"/>
  <c r="K28" i="4"/>
  <c r="L12" i="7" s="1"/>
  <c r="K30" i="4"/>
  <c r="J37" i="4"/>
  <c r="J8" i="5"/>
  <c r="J5" i="5"/>
  <c r="I16" i="5"/>
  <c r="H8" i="5"/>
  <c r="I5" i="5" s="1"/>
  <c r="I6" i="5" s="1"/>
  <c r="I3" i="6" s="1"/>
  <c r="I6" i="6" s="1"/>
  <c r="I16" i="12" s="1"/>
  <c r="K23" i="16" s="1"/>
  <c r="B8" i="5"/>
  <c r="B16" i="5" s="1"/>
  <c r="E24" i="18"/>
  <c r="D37" i="4"/>
  <c r="G24" i="18"/>
  <c r="F37" i="4"/>
  <c r="D24" i="18"/>
  <c r="C37" i="4"/>
  <c r="B37" i="4"/>
  <c r="C24" i="18"/>
  <c r="F24" i="18"/>
  <c r="E37" i="4"/>
  <c r="F13" i="4"/>
  <c r="G43" i="18" s="1"/>
  <c r="E14" i="4"/>
  <c r="E6" i="12" s="1"/>
  <c r="H24" i="4"/>
  <c r="H34" i="4"/>
  <c r="G24" i="4"/>
  <c r="G34" i="4"/>
  <c r="K5" i="39" l="1"/>
  <c r="K10" i="39" s="1"/>
  <c r="K12" i="39" s="1"/>
  <c r="K40" i="10"/>
  <c r="D5" i="39"/>
  <c r="D10" i="39" s="1"/>
  <c r="D12" i="39" s="1"/>
  <c r="D40" i="10"/>
  <c r="E5" i="39"/>
  <c r="E10" i="39" s="1"/>
  <c r="E12" i="39" s="1"/>
  <c r="E40" i="10"/>
  <c r="F5" i="39"/>
  <c r="F10" i="39" s="1"/>
  <c r="F12" i="39" s="1"/>
  <c r="F40" i="10"/>
  <c r="G5" i="39"/>
  <c r="G10" i="39" s="1"/>
  <c r="G12" i="39" s="1"/>
  <c r="G40" i="10"/>
  <c r="C5" i="39"/>
  <c r="C10" i="39" s="1"/>
  <c r="C12" i="39" s="1"/>
  <c r="C40" i="10"/>
  <c r="J6" i="5"/>
  <c r="J3" i="6" s="1"/>
  <c r="J6" i="6" s="1"/>
  <c r="J16" i="12" s="1"/>
  <c r="J10" i="39"/>
  <c r="J12" i="39" s="1"/>
  <c r="J7" i="39"/>
  <c r="E4" i="36"/>
  <c r="E43" i="36"/>
  <c r="E30" i="36"/>
  <c r="E17" i="36"/>
  <c r="B6" i="5"/>
  <c r="B3" i="6" s="1"/>
  <c r="L24" i="7"/>
  <c r="L26" i="7" s="1"/>
  <c r="L48" i="7" s="1"/>
  <c r="H23" i="7"/>
  <c r="H25" i="7" s="1"/>
  <c r="H14" i="8" s="1"/>
  <c r="H16" i="8" s="1"/>
  <c r="G48" i="7"/>
  <c r="H47" i="7" s="1"/>
  <c r="L23" i="7"/>
  <c r="K48" i="7"/>
  <c r="L47" i="7" s="1"/>
  <c r="F23" i="7"/>
  <c r="F25" i="7" s="1"/>
  <c r="F14" i="8" s="1"/>
  <c r="F16" i="8" s="1"/>
  <c r="E48" i="7"/>
  <c r="F47" i="7" s="1"/>
  <c r="G23" i="7"/>
  <c r="G25" i="7" s="1"/>
  <c r="G14" i="8" s="1"/>
  <c r="G16" i="8" s="1"/>
  <c r="F48" i="7"/>
  <c r="G47" i="7" s="1"/>
  <c r="J23" i="7"/>
  <c r="J25" i="7" s="1"/>
  <c r="J14" i="8" s="1"/>
  <c r="J16" i="8" s="1"/>
  <c r="I48" i="7"/>
  <c r="J47" i="7" s="1"/>
  <c r="I23" i="7"/>
  <c r="I25" i="7" s="1"/>
  <c r="I14" i="8" s="1"/>
  <c r="I16" i="8" s="1"/>
  <c r="H48" i="7"/>
  <c r="I47" i="7" s="1"/>
  <c r="E23" i="7"/>
  <c r="E25" i="7" s="1"/>
  <c r="E14" i="8" s="1"/>
  <c r="E16" i="8" s="1"/>
  <c r="D48" i="7"/>
  <c r="E47" i="7" s="1"/>
  <c r="K25" i="7"/>
  <c r="K14" i="8" s="1"/>
  <c r="K16" i="8" s="1"/>
  <c r="D23" i="7"/>
  <c r="D25" i="7" s="1"/>
  <c r="D14" i="8" s="1"/>
  <c r="D16" i="8" s="1"/>
  <c r="C48" i="7"/>
  <c r="D47" i="7" s="1"/>
  <c r="H16" i="5"/>
  <c r="I15" i="5" s="1"/>
  <c r="I18" i="12" s="1"/>
  <c r="K37" i="4"/>
  <c r="L40" i="10" s="1"/>
  <c r="K32" i="10"/>
  <c r="K31" i="10"/>
  <c r="K38" i="10"/>
  <c r="K27" i="18"/>
  <c r="J41" i="15"/>
  <c r="I19" i="12"/>
  <c r="J15" i="5"/>
  <c r="J18" i="12" s="1"/>
  <c r="K5" i="5"/>
  <c r="J16" i="5"/>
  <c r="K8" i="5"/>
  <c r="K16" i="5" s="1"/>
  <c r="C5" i="5"/>
  <c r="C16" i="5"/>
  <c r="D5" i="5"/>
  <c r="D6" i="5" s="1"/>
  <c r="D3" i="6" s="1"/>
  <c r="D8" i="6" s="1"/>
  <c r="G5" i="5"/>
  <c r="G6" i="5" s="1"/>
  <c r="G3" i="6" s="1"/>
  <c r="G8" i="6" s="1"/>
  <c r="F16" i="5"/>
  <c r="D16" i="5"/>
  <c r="E5" i="5"/>
  <c r="E6" i="5" s="1"/>
  <c r="E3" i="6" s="1"/>
  <c r="E8" i="6" s="1"/>
  <c r="F5" i="5"/>
  <c r="F6" i="5" s="1"/>
  <c r="F3" i="6" s="1"/>
  <c r="F8" i="6" s="1"/>
  <c r="E16" i="5"/>
  <c r="H5" i="5"/>
  <c r="H6" i="5" s="1"/>
  <c r="H3" i="6" s="1"/>
  <c r="G16" i="5"/>
  <c r="H11" i="23"/>
  <c r="J24" i="16"/>
  <c r="G11" i="23"/>
  <c r="I24" i="16"/>
  <c r="C27" i="18"/>
  <c r="C38" i="10"/>
  <c r="C32" i="10"/>
  <c r="C31" i="10"/>
  <c r="H24" i="18"/>
  <c r="G37" i="4"/>
  <c r="I24" i="18"/>
  <c r="H37" i="4"/>
  <c r="G38" i="10"/>
  <c r="G32" i="10"/>
  <c r="G27" i="18"/>
  <c r="G31" i="10"/>
  <c r="C15" i="5"/>
  <c r="C18" i="12" s="1"/>
  <c r="B19" i="12"/>
  <c r="C41" i="15"/>
  <c r="F27" i="18"/>
  <c r="F38" i="10"/>
  <c r="F32" i="10"/>
  <c r="F31" i="10"/>
  <c r="D38" i="10"/>
  <c r="D32" i="10"/>
  <c r="D27" i="18"/>
  <c r="D31" i="10"/>
  <c r="E27" i="18"/>
  <c r="E32" i="10"/>
  <c r="E38" i="10"/>
  <c r="E31" i="10"/>
  <c r="G13" i="4"/>
  <c r="H43" i="18" s="1"/>
  <c r="F14" i="4"/>
  <c r="F6" i="12" s="1"/>
  <c r="C13" i="7"/>
  <c r="C6" i="8" s="1"/>
  <c r="C8" i="8" s="1"/>
  <c r="C7" i="7"/>
  <c r="C2" i="8" s="1"/>
  <c r="C19" i="7"/>
  <c r="C10" i="8" s="1"/>
  <c r="C12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F7" i="39" l="1"/>
  <c r="J14" i="39"/>
  <c r="I8" i="12" s="1"/>
  <c r="I18" i="36" s="1"/>
  <c r="D7" i="39"/>
  <c r="K7" i="39"/>
  <c r="K14" i="39" s="1"/>
  <c r="J8" i="12" s="1"/>
  <c r="G7" i="39"/>
  <c r="G14" i="39" s="1"/>
  <c r="F8" i="12" s="1"/>
  <c r="E7" i="39"/>
  <c r="C7" i="39"/>
  <c r="C14" i="39" s="1"/>
  <c r="B8" i="12" s="1"/>
  <c r="B31" i="36" s="1"/>
  <c r="I31" i="36"/>
  <c r="I44" i="36"/>
  <c r="H5" i="39"/>
  <c r="H7" i="39" s="1"/>
  <c r="H40" i="10"/>
  <c r="I5" i="39"/>
  <c r="I10" i="39" s="1"/>
  <c r="I12" i="39" s="1"/>
  <c r="I40" i="10"/>
  <c r="C6" i="5"/>
  <c r="C3" i="6" s="1"/>
  <c r="C39" i="10"/>
  <c r="F14" i="39"/>
  <c r="E8" i="12" s="1"/>
  <c r="I21" i="12"/>
  <c r="I48" i="36" s="1"/>
  <c r="E14" i="39"/>
  <c r="D8" i="12" s="1"/>
  <c r="G6" i="6"/>
  <c r="G16" i="12" s="1"/>
  <c r="D14" i="39"/>
  <c r="C8" i="12" s="1"/>
  <c r="L32" i="10"/>
  <c r="L5" i="39"/>
  <c r="I41" i="15"/>
  <c r="H19" i="12"/>
  <c r="E6" i="6"/>
  <c r="E16" i="12" s="1"/>
  <c r="L25" i="7"/>
  <c r="L14" i="8" s="1"/>
  <c r="L16" i="8" s="1"/>
  <c r="F4" i="36"/>
  <c r="F17" i="36"/>
  <c r="F43" i="36"/>
  <c r="F30" i="36"/>
  <c r="F6" i="6"/>
  <c r="F6" i="23" s="1"/>
  <c r="D6" i="6"/>
  <c r="D10" i="6" s="1"/>
  <c r="D14" i="6" s="1"/>
  <c r="K6" i="5"/>
  <c r="K3" i="6" s="1"/>
  <c r="K6" i="6" s="1"/>
  <c r="B6" i="6"/>
  <c r="B16" i="12" s="1"/>
  <c r="B21" i="12" s="1"/>
  <c r="B8" i="6"/>
  <c r="L27" i="18"/>
  <c r="L38" i="10"/>
  <c r="L31" i="10"/>
  <c r="K19" i="12"/>
  <c r="L41" i="15"/>
  <c r="K41" i="15"/>
  <c r="J19" i="12"/>
  <c r="J21" i="12" s="1"/>
  <c r="K15" i="5"/>
  <c r="K18" i="12" s="1"/>
  <c r="L23" i="16"/>
  <c r="H41" i="15"/>
  <c r="G19" i="12"/>
  <c r="H15" i="5"/>
  <c r="H18" i="12" s="1"/>
  <c r="E41" i="15"/>
  <c r="D19" i="12"/>
  <c r="E15" i="5"/>
  <c r="E18" i="12" s="1"/>
  <c r="F15" i="5"/>
  <c r="F18" i="12" s="1"/>
  <c r="F41" i="15"/>
  <c r="E19" i="12"/>
  <c r="G15" i="5"/>
  <c r="G18" i="12" s="1"/>
  <c r="F19" i="12"/>
  <c r="G41" i="15"/>
  <c r="H8" i="6"/>
  <c r="H6" i="6"/>
  <c r="D15" i="5"/>
  <c r="D18" i="12" s="1"/>
  <c r="C19" i="12"/>
  <c r="D41" i="15"/>
  <c r="E24" i="16"/>
  <c r="B11" i="23"/>
  <c r="D24" i="16"/>
  <c r="I27" i="18"/>
  <c r="I38" i="10"/>
  <c r="I32" i="10"/>
  <c r="I31" i="10"/>
  <c r="H38" i="10"/>
  <c r="H32" i="10"/>
  <c r="H27" i="18"/>
  <c r="H31" i="10"/>
  <c r="C4" i="8"/>
  <c r="H13" i="4"/>
  <c r="G14" i="4"/>
  <c r="G6" i="12" s="1"/>
  <c r="D17" i="7"/>
  <c r="C44" i="7"/>
  <c r="D43" i="7" s="1"/>
  <c r="D11" i="7"/>
  <c r="C40" i="7"/>
  <c r="D39" i="7" s="1"/>
  <c r="C36" i="7"/>
  <c r="D5" i="7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I35" i="36" l="1"/>
  <c r="E6" i="23"/>
  <c r="I5" i="36"/>
  <c r="G10" i="6"/>
  <c r="G14" i="6" s="1"/>
  <c r="G6" i="23"/>
  <c r="I7" i="39"/>
  <c r="I14" i="39" s="1"/>
  <c r="H8" i="12" s="1"/>
  <c r="F10" i="6"/>
  <c r="F14" i="6" s="1"/>
  <c r="F16" i="12"/>
  <c r="F21" i="12" s="1"/>
  <c r="I9" i="36"/>
  <c r="I22" i="36"/>
  <c r="H10" i="39"/>
  <c r="H12" i="39" s="1"/>
  <c r="H14" i="39" s="1"/>
  <c r="G8" i="12" s="1"/>
  <c r="B18" i="36"/>
  <c r="B5" i="36"/>
  <c r="D16" i="12"/>
  <c r="D21" i="12" s="1"/>
  <c r="D6" i="23"/>
  <c r="B44" i="36"/>
  <c r="F31" i="36"/>
  <c r="F5" i="36"/>
  <c r="F44" i="36"/>
  <c r="F18" i="36"/>
  <c r="J31" i="36"/>
  <c r="J5" i="36"/>
  <c r="J44" i="36"/>
  <c r="J18" i="36"/>
  <c r="C31" i="36"/>
  <c r="C44" i="36"/>
  <c r="C18" i="36"/>
  <c r="C5" i="36"/>
  <c r="D44" i="36"/>
  <c r="D18" i="36"/>
  <c r="D31" i="36"/>
  <c r="D5" i="36"/>
  <c r="E44" i="36"/>
  <c r="E18" i="36"/>
  <c r="E31" i="36"/>
  <c r="E5" i="36"/>
  <c r="C8" i="6"/>
  <c r="C6" i="6"/>
  <c r="C16" i="12" s="1"/>
  <c r="C21" i="12" s="1"/>
  <c r="D14" i="7"/>
  <c r="D13" i="7" s="1"/>
  <c r="D6" i="8" s="1"/>
  <c r="D8" i="8" s="1"/>
  <c r="D20" i="7"/>
  <c r="D8" i="7"/>
  <c r="B6" i="23"/>
  <c r="L10" i="39"/>
  <c r="L12" i="39" s="1"/>
  <c r="L7" i="39"/>
  <c r="E10" i="6"/>
  <c r="E14" i="6" s="1"/>
  <c r="B10" i="6"/>
  <c r="B14" i="6" s="1"/>
  <c r="G17" i="36"/>
  <c r="G43" i="36"/>
  <c r="G30" i="36"/>
  <c r="J48" i="36"/>
  <c r="J22" i="36"/>
  <c r="J9" i="36"/>
  <c r="J35" i="36"/>
  <c r="B48" i="36"/>
  <c r="B22" i="36"/>
  <c r="B35" i="36"/>
  <c r="B9" i="36"/>
  <c r="C52" i="7"/>
  <c r="B9" i="23" s="1"/>
  <c r="C18" i="8"/>
  <c r="B5" i="12" s="1"/>
  <c r="D23" i="16"/>
  <c r="G4" i="36"/>
  <c r="I43" i="18"/>
  <c r="I13" i="4"/>
  <c r="K16" i="12"/>
  <c r="H10" i="6"/>
  <c r="H14" i="6" s="1"/>
  <c r="G21" i="12"/>
  <c r="I23" i="16"/>
  <c r="H23" i="16"/>
  <c r="E21" i="12"/>
  <c r="G23" i="16"/>
  <c r="H6" i="23"/>
  <c r="H16" i="12"/>
  <c r="H14" i="4"/>
  <c r="H6" i="12" s="1"/>
  <c r="D35" i="7"/>
  <c r="P16" i="3"/>
  <c r="P17" i="3" s="1"/>
  <c r="Q15" i="3" s="1"/>
  <c r="D6" i="3"/>
  <c r="C7" i="3"/>
  <c r="P6" i="3"/>
  <c r="P7" i="3" s="1"/>
  <c r="F23" i="16" l="1"/>
  <c r="E23" i="16"/>
  <c r="C6" i="23"/>
  <c r="C10" i="6"/>
  <c r="C14" i="6" s="1"/>
  <c r="H44" i="36"/>
  <c r="H18" i="36"/>
  <c r="H31" i="36"/>
  <c r="H5" i="36"/>
  <c r="G5" i="36"/>
  <c r="G44" i="36"/>
  <c r="G18" i="36"/>
  <c r="G31" i="36"/>
  <c r="E5" i="7"/>
  <c r="D36" i="7"/>
  <c r="E35" i="7" s="1"/>
  <c r="D7" i="7"/>
  <c r="D2" i="8" s="1"/>
  <c r="D40" i="7"/>
  <c r="E11" i="7"/>
  <c r="E14" i="7" s="1"/>
  <c r="F11" i="7" s="1"/>
  <c r="D44" i="7"/>
  <c r="E43" i="7" s="1"/>
  <c r="E17" i="7"/>
  <c r="D19" i="7"/>
  <c r="D10" i="8" s="1"/>
  <c r="D12" i="8" s="1"/>
  <c r="L14" i="39"/>
  <c r="K8" i="12" s="1"/>
  <c r="H43" i="36"/>
  <c r="H30" i="36"/>
  <c r="H17" i="36"/>
  <c r="B42" i="36"/>
  <c r="B16" i="36"/>
  <c r="B29" i="36"/>
  <c r="B3" i="36"/>
  <c r="D9" i="36"/>
  <c r="D35" i="36"/>
  <c r="D48" i="36"/>
  <c r="D22" i="36"/>
  <c r="G9" i="36"/>
  <c r="G35" i="36"/>
  <c r="G48" i="36"/>
  <c r="G22" i="36"/>
  <c r="E35" i="36"/>
  <c r="E9" i="36"/>
  <c r="E48" i="36"/>
  <c r="E22" i="36"/>
  <c r="F48" i="36"/>
  <c r="F22" i="36"/>
  <c r="F35" i="36"/>
  <c r="F9" i="36"/>
  <c r="C48" i="36"/>
  <c r="C9" i="36"/>
  <c r="C22" i="36"/>
  <c r="C35" i="36"/>
  <c r="B9" i="12"/>
  <c r="C36" i="15" s="1"/>
  <c r="D51" i="7"/>
  <c r="C11" i="12" s="1"/>
  <c r="H4" i="36"/>
  <c r="M23" i="16"/>
  <c r="K21" i="12"/>
  <c r="J13" i="4"/>
  <c r="J43" i="18"/>
  <c r="I14" i="4"/>
  <c r="I6" i="12" s="1"/>
  <c r="J23" i="16"/>
  <c r="H21" i="12"/>
  <c r="C40" i="15"/>
  <c r="B12" i="12"/>
  <c r="Q16" i="3"/>
  <c r="Q17" i="3" s="1"/>
  <c r="R15" i="3" s="1"/>
  <c r="Q5" i="3"/>
  <c r="E6" i="3"/>
  <c r="D5" i="3"/>
  <c r="E40" i="7" l="1"/>
  <c r="F39" i="7" s="1"/>
  <c r="K44" i="36"/>
  <c r="K18" i="36"/>
  <c r="K31" i="36"/>
  <c r="K5" i="36"/>
  <c r="E13" i="7"/>
  <c r="E6" i="8" s="1"/>
  <c r="E8" i="8" s="1"/>
  <c r="E20" i="7"/>
  <c r="E19" i="7" s="1"/>
  <c r="E10" i="8" s="1"/>
  <c r="E12" i="8" s="1"/>
  <c r="D39" i="10"/>
  <c r="D4" i="8"/>
  <c r="D18" i="8" s="1"/>
  <c r="C5" i="12" s="1"/>
  <c r="D52" i="7"/>
  <c r="E39" i="7"/>
  <c r="E51" i="7" s="1"/>
  <c r="D11" i="12" s="1"/>
  <c r="E8" i="7"/>
  <c r="F14" i="7"/>
  <c r="I43" i="36"/>
  <c r="I30" i="36"/>
  <c r="I17" i="36"/>
  <c r="C5" i="11"/>
  <c r="C43" i="15"/>
  <c r="B32" i="36"/>
  <c r="B33" i="36" s="1"/>
  <c r="B45" i="36"/>
  <c r="B46" i="36" s="1"/>
  <c r="B19" i="36"/>
  <c r="B20" i="36" s="1"/>
  <c r="D28" i="16"/>
  <c r="H9" i="36"/>
  <c r="H35" i="36"/>
  <c r="H48" i="36"/>
  <c r="H22" i="36"/>
  <c r="K22" i="36"/>
  <c r="K9" i="36"/>
  <c r="K48" i="36"/>
  <c r="K35" i="36"/>
  <c r="D5" i="16"/>
  <c r="B2" i="35"/>
  <c r="B14" i="12"/>
  <c r="B3" i="35" s="1"/>
  <c r="B6" i="36"/>
  <c r="B7" i="36" s="1"/>
  <c r="I4" i="36"/>
  <c r="K13" i="4"/>
  <c r="K43" i="18"/>
  <c r="J14" i="4"/>
  <c r="J6" i="12" s="1"/>
  <c r="F6" i="3"/>
  <c r="R16" i="3"/>
  <c r="R17" i="3" s="1"/>
  <c r="S15" i="3" s="1"/>
  <c r="D7" i="3"/>
  <c r="Q6" i="3"/>
  <c r="C16" i="36" l="1"/>
  <c r="C3" i="36"/>
  <c r="C29" i="36"/>
  <c r="C9" i="12"/>
  <c r="C42" i="36"/>
  <c r="D40" i="15"/>
  <c r="C12" i="12"/>
  <c r="C9" i="23"/>
  <c r="F17" i="7"/>
  <c r="E44" i="7"/>
  <c r="F43" i="7" s="1"/>
  <c r="E36" i="7"/>
  <c r="F5" i="7"/>
  <c r="E7" i="7"/>
  <c r="E2" i="8" s="1"/>
  <c r="F40" i="7"/>
  <c r="G11" i="7"/>
  <c r="F13" i="7"/>
  <c r="F6" i="8" s="1"/>
  <c r="J17" i="36"/>
  <c r="J43" i="36"/>
  <c r="J30" i="36"/>
  <c r="C4" i="11"/>
  <c r="J4" i="36"/>
  <c r="L43" i="18"/>
  <c r="K14" i="4"/>
  <c r="K6" i="12" s="1"/>
  <c r="S16" i="3"/>
  <c r="S17" i="3" s="1"/>
  <c r="T15" i="3" s="1"/>
  <c r="E5" i="3"/>
  <c r="G6" i="3"/>
  <c r="Q7" i="3"/>
  <c r="D36" i="15" l="1"/>
  <c r="D4" i="11" s="1"/>
  <c r="F35" i="7"/>
  <c r="F51" i="7" s="1"/>
  <c r="E11" i="12" s="1"/>
  <c r="E52" i="7"/>
  <c r="E4" i="8"/>
  <c r="E18" i="8" s="1"/>
  <c r="D5" i="12" s="1"/>
  <c r="E39" i="10"/>
  <c r="D5" i="11"/>
  <c r="D43" i="15"/>
  <c r="F20" i="7"/>
  <c r="F19" i="7" s="1"/>
  <c r="F10" i="8" s="1"/>
  <c r="F12" i="8" s="1"/>
  <c r="C45" i="36"/>
  <c r="C46" i="36" s="1"/>
  <c r="C19" i="36"/>
  <c r="C20" i="36" s="1"/>
  <c r="C32" i="36"/>
  <c r="C33" i="36" s="1"/>
  <c r="C6" i="36"/>
  <c r="C7" i="36" s="1"/>
  <c r="C2" i="35"/>
  <c r="C14" i="12"/>
  <c r="C3" i="35" s="1"/>
  <c r="E5" i="16"/>
  <c r="F8" i="7"/>
  <c r="G14" i="7"/>
  <c r="G13" i="7" s="1"/>
  <c r="G6" i="8" s="1"/>
  <c r="G39" i="7"/>
  <c r="F8" i="8"/>
  <c r="K17" i="36"/>
  <c r="K43" i="36"/>
  <c r="K30" i="36"/>
  <c r="K4" i="36"/>
  <c r="T16" i="3"/>
  <c r="T17" i="3" s="1"/>
  <c r="U15" i="3" s="1"/>
  <c r="R5" i="3"/>
  <c r="E7" i="3"/>
  <c r="H6" i="3"/>
  <c r="E28" i="16" l="1"/>
  <c r="G17" i="7"/>
  <c r="F44" i="7"/>
  <c r="G43" i="7" s="1"/>
  <c r="D29" i="36"/>
  <c r="D42" i="36"/>
  <c r="D9" i="12"/>
  <c r="E36" i="15" s="1"/>
  <c r="D16" i="36"/>
  <c r="D3" i="36"/>
  <c r="D12" i="12"/>
  <c r="D9" i="23"/>
  <c r="E40" i="15"/>
  <c r="F36" i="7"/>
  <c r="G5" i="7"/>
  <c r="F7" i="7"/>
  <c r="F2" i="8" s="1"/>
  <c r="G8" i="8"/>
  <c r="H11" i="7"/>
  <c r="G40" i="7"/>
  <c r="R6" i="3"/>
  <c r="I6" i="3"/>
  <c r="J6" i="3" s="1"/>
  <c r="U16" i="3"/>
  <c r="U17" i="3" s="1"/>
  <c r="V15" i="3" s="1"/>
  <c r="F5" i="3"/>
  <c r="G35" i="7" l="1"/>
  <c r="G51" i="7" s="1"/>
  <c r="F11" i="12" s="1"/>
  <c r="F52" i="7"/>
  <c r="E5" i="11"/>
  <c r="E43" i="15"/>
  <c r="F39" i="10"/>
  <c r="F4" i="8"/>
  <c r="F18" i="8" s="1"/>
  <c r="E5" i="12" s="1"/>
  <c r="D14" i="12"/>
  <c r="D3" i="35" s="1"/>
  <c r="F5" i="16"/>
  <c r="D2" i="35"/>
  <c r="G20" i="7"/>
  <c r="G19" i="7" s="1"/>
  <c r="G10" i="8" s="1"/>
  <c r="G12" i="8" s="1"/>
  <c r="G8" i="7"/>
  <c r="D19" i="36"/>
  <c r="D20" i="36" s="1"/>
  <c r="D45" i="36"/>
  <c r="D46" i="36" s="1"/>
  <c r="D6" i="36"/>
  <c r="D7" i="36" s="1"/>
  <c r="D32" i="36"/>
  <c r="D33" i="36" s="1"/>
  <c r="H14" i="7"/>
  <c r="H39" i="7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G36" i="7"/>
  <c r="H5" i="7"/>
  <c r="H8" i="7" s="1"/>
  <c r="H17" i="7"/>
  <c r="G44" i="7"/>
  <c r="H43" i="7" s="1"/>
  <c r="G7" i="7"/>
  <c r="G2" i="8" s="1"/>
  <c r="F28" i="16"/>
  <c r="E4" i="11"/>
  <c r="E42" i="36"/>
  <c r="E16" i="36"/>
  <c r="E3" i="36"/>
  <c r="E29" i="36"/>
  <c r="E9" i="12"/>
  <c r="F36" i="15" s="1"/>
  <c r="E9" i="23"/>
  <c r="E12" i="12"/>
  <c r="F40" i="15"/>
  <c r="I11" i="7"/>
  <c r="H40" i="7"/>
  <c r="H13" i="7"/>
  <c r="H6" i="8" s="1"/>
  <c r="L6" i="3"/>
  <c r="G5" i="3"/>
  <c r="S6" i="3"/>
  <c r="S7" i="3" s="1"/>
  <c r="H7" i="7" l="1"/>
  <c r="H2" i="8" s="1"/>
  <c r="H36" i="7"/>
  <c r="I35" i="7" s="1"/>
  <c r="I5" i="7"/>
  <c r="H20" i="7"/>
  <c r="E2" i="35"/>
  <c r="G5" i="16"/>
  <c r="E14" i="12"/>
  <c r="E3" i="35" s="1"/>
  <c r="H35" i="7"/>
  <c r="H51" i="7" s="1"/>
  <c r="G11" i="12" s="1"/>
  <c r="G52" i="7"/>
  <c r="E6" i="36"/>
  <c r="E7" i="36" s="1"/>
  <c r="E32" i="36"/>
  <c r="E33" i="36" s="1"/>
  <c r="E19" i="36"/>
  <c r="E20" i="36" s="1"/>
  <c r="E45" i="36"/>
  <c r="E46" i="36" s="1"/>
  <c r="G39" i="10"/>
  <c r="G4" i="8"/>
  <c r="G18" i="8" s="1"/>
  <c r="F5" i="12" s="1"/>
  <c r="F43" i="15"/>
  <c r="F5" i="11"/>
  <c r="H8" i="8"/>
  <c r="I14" i="7"/>
  <c r="I13" i="7" s="1"/>
  <c r="I6" i="8" s="1"/>
  <c r="I8" i="8" s="1"/>
  <c r="I39" i="7"/>
  <c r="T5" i="3"/>
  <c r="G7" i="3"/>
  <c r="F12" i="12" l="1"/>
  <c r="G40" i="15"/>
  <c r="F9" i="23"/>
  <c r="I8" i="7"/>
  <c r="I7" i="7" s="1"/>
  <c r="I2" i="8" s="1"/>
  <c r="H44" i="7"/>
  <c r="I17" i="7"/>
  <c r="I20" i="7" s="1"/>
  <c r="F4" i="11"/>
  <c r="G28" i="16"/>
  <c r="F29" i="36"/>
  <c r="F3" i="36"/>
  <c r="F9" i="12"/>
  <c r="G36" i="15" s="1"/>
  <c r="F16" i="36"/>
  <c r="F42" i="36"/>
  <c r="H19" i="7"/>
  <c r="H10" i="8" s="1"/>
  <c r="H12" i="8" s="1"/>
  <c r="H4" i="8"/>
  <c r="J11" i="7"/>
  <c r="I40" i="7"/>
  <c r="T6" i="3"/>
  <c r="H5" i="3"/>
  <c r="H39" i="10" l="1"/>
  <c r="H18" i="8"/>
  <c r="G5" i="12" s="1"/>
  <c r="G9" i="12" s="1"/>
  <c r="I43" i="7"/>
  <c r="I51" i="7" s="1"/>
  <c r="H11" i="12" s="1"/>
  <c r="H52" i="7"/>
  <c r="G43" i="15"/>
  <c r="G5" i="11"/>
  <c r="I19" i="7"/>
  <c r="I10" i="8" s="1"/>
  <c r="I12" i="8" s="1"/>
  <c r="I44" i="7"/>
  <c r="J43" i="7" s="1"/>
  <c r="J17" i="7"/>
  <c r="F2" i="35"/>
  <c r="H5" i="16"/>
  <c r="F14" i="12"/>
  <c r="F3" i="35" s="1"/>
  <c r="I4" i="8"/>
  <c r="F32" i="36"/>
  <c r="F33" i="36" s="1"/>
  <c r="F6" i="36"/>
  <c r="F7" i="36" s="1"/>
  <c r="F19" i="36"/>
  <c r="F20" i="36" s="1"/>
  <c r="F45" i="36"/>
  <c r="F46" i="36" s="1"/>
  <c r="J5" i="7"/>
  <c r="I36" i="7"/>
  <c r="J35" i="7" s="1"/>
  <c r="J39" i="7"/>
  <c r="J14" i="7"/>
  <c r="J13" i="7" s="1"/>
  <c r="J6" i="8" s="1"/>
  <c r="J8" i="8" s="1"/>
  <c r="H7" i="3"/>
  <c r="T7" i="3"/>
  <c r="G3" i="36" l="1"/>
  <c r="G29" i="36"/>
  <c r="G16" i="36"/>
  <c r="G42" i="36"/>
  <c r="H36" i="15"/>
  <c r="H4" i="11" s="1"/>
  <c r="G2" i="35"/>
  <c r="I5" i="16"/>
  <c r="J20" i="7"/>
  <c r="J19" i="7" s="1"/>
  <c r="J10" i="8" s="1"/>
  <c r="J12" i="8" s="1"/>
  <c r="I52" i="7"/>
  <c r="I40" i="15" s="1"/>
  <c r="J8" i="7"/>
  <c r="H40" i="15"/>
  <c r="G9" i="23"/>
  <c r="G12" i="12"/>
  <c r="I18" i="8"/>
  <c r="H5" i="12" s="1"/>
  <c r="J51" i="7"/>
  <c r="I11" i="12" s="1"/>
  <c r="I39" i="10"/>
  <c r="G4" i="11"/>
  <c r="H28" i="16"/>
  <c r="J40" i="7"/>
  <c r="K11" i="7"/>
  <c r="I5" i="3"/>
  <c r="U5" i="3"/>
  <c r="H9" i="23" l="1"/>
  <c r="I28" i="16"/>
  <c r="H12" i="12"/>
  <c r="H19" i="36" s="1"/>
  <c r="K5" i="7"/>
  <c r="K8" i="7" s="1"/>
  <c r="J36" i="7"/>
  <c r="K35" i="7" s="1"/>
  <c r="H43" i="15"/>
  <c r="H5" i="11"/>
  <c r="G45" i="36"/>
  <c r="G46" i="36" s="1"/>
  <c r="G32" i="36"/>
  <c r="G33" i="36" s="1"/>
  <c r="G6" i="36"/>
  <c r="G7" i="36" s="1"/>
  <c r="G14" i="12"/>
  <c r="G3" i="35" s="1"/>
  <c r="G19" i="36"/>
  <c r="G20" i="36" s="1"/>
  <c r="H42" i="36"/>
  <c r="H16" i="36"/>
  <c r="H29" i="36"/>
  <c r="H3" i="36"/>
  <c r="H9" i="12"/>
  <c r="J7" i="7"/>
  <c r="J2" i="8" s="1"/>
  <c r="K17" i="7"/>
  <c r="J44" i="7"/>
  <c r="K43" i="7" s="1"/>
  <c r="I5" i="11"/>
  <c r="I43" i="15"/>
  <c r="K14" i="7"/>
  <c r="K39" i="7"/>
  <c r="U6" i="3"/>
  <c r="I7" i="3"/>
  <c r="J5" i="3" s="1"/>
  <c r="H45" i="36" l="1"/>
  <c r="H46" i="36" s="1"/>
  <c r="H32" i="36"/>
  <c r="H6" i="36"/>
  <c r="H7" i="36" s="1"/>
  <c r="H20" i="36"/>
  <c r="J52" i="7"/>
  <c r="J40" i="15" s="1"/>
  <c r="H14" i="12"/>
  <c r="I36" i="15"/>
  <c r="K51" i="7"/>
  <c r="J11" i="12" s="1"/>
  <c r="J39" i="10"/>
  <c r="J4" i="8"/>
  <c r="J18" i="8" s="1"/>
  <c r="I5" i="12" s="1"/>
  <c r="H33" i="36"/>
  <c r="J5" i="16"/>
  <c r="K20" i="7"/>
  <c r="K19" i="7" s="1"/>
  <c r="K10" i="8" s="1"/>
  <c r="K12" i="8" s="1"/>
  <c r="K7" i="7"/>
  <c r="K2" i="8" s="1"/>
  <c r="K36" i="7"/>
  <c r="L35" i="7" s="1"/>
  <c r="L5" i="7"/>
  <c r="L8" i="7" s="1"/>
  <c r="L36" i="7" s="1"/>
  <c r="K40" i="7"/>
  <c r="L11" i="7"/>
  <c r="K13" i="7"/>
  <c r="K6" i="8" s="1"/>
  <c r="J7" i="3"/>
  <c r="U7" i="3"/>
  <c r="I12" i="12" l="1"/>
  <c r="I19" i="36" s="1"/>
  <c r="L7" i="7"/>
  <c r="L2" i="8" s="1"/>
  <c r="L4" i="8" s="1"/>
  <c r="J28" i="16"/>
  <c r="I4" i="11"/>
  <c r="K39" i="10"/>
  <c r="K4" i="8"/>
  <c r="K44" i="7"/>
  <c r="L43" i="7" s="1"/>
  <c r="L17" i="7"/>
  <c r="I16" i="36"/>
  <c r="I29" i="36"/>
  <c r="I3" i="36"/>
  <c r="I42" i="36"/>
  <c r="I9" i="12"/>
  <c r="J36" i="15" s="1"/>
  <c r="K8" i="8"/>
  <c r="L14" i="7"/>
  <c r="L40" i="7" s="1"/>
  <c r="J5" i="11"/>
  <c r="J43" i="15"/>
  <c r="L39" i="7"/>
  <c r="K5" i="3"/>
  <c r="V5" i="3"/>
  <c r="I32" i="36" l="1"/>
  <c r="I45" i="36"/>
  <c r="I46" i="36"/>
  <c r="I6" i="36"/>
  <c r="I7" i="36" s="1"/>
  <c r="I33" i="36"/>
  <c r="L51" i="7"/>
  <c r="K11" i="12" s="1"/>
  <c r="K52" i="7"/>
  <c r="J12" i="12" s="1"/>
  <c r="L13" i="7"/>
  <c r="L6" i="8" s="1"/>
  <c r="L8" i="8" s="1"/>
  <c r="K5" i="16"/>
  <c r="I20" i="36"/>
  <c r="L20" i="7"/>
  <c r="L44" i="7" s="1"/>
  <c r="L52" i="7" s="1"/>
  <c r="I14" i="12"/>
  <c r="K18" i="8"/>
  <c r="J5" i="12" s="1"/>
  <c r="J9" i="12" s="1"/>
  <c r="K36" i="15" s="1"/>
  <c r="K7" i="3"/>
  <c r="V6" i="3"/>
  <c r="K40" i="15" l="1"/>
  <c r="K5" i="11" s="1"/>
  <c r="J3" i="36"/>
  <c r="J42" i="36"/>
  <c r="J29" i="36"/>
  <c r="J16" i="36"/>
  <c r="L19" i="7"/>
  <c r="L10" i="8" s="1"/>
  <c r="L12" i="8" s="1"/>
  <c r="L18" i="8" s="1"/>
  <c r="K5" i="12" s="1"/>
  <c r="K16" i="36" s="1"/>
  <c r="K12" i="12"/>
  <c r="K45" i="36" s="1"/>
  <c r="L40" i="15"/>
  <c r="L43" i="15" s="1"/>
  <c r="K28" i="16"/>
  <c r="J4" i="11"/>
  <c r="J14" i="12"/>
  <c r="J32" i="36"/>
  <c r="J33" i="36" s="1"/>
  <c r="J19" i="36"/>
  <c r="J20" i="36" s="1"/>
  <c r="J6" i="36"/>
  <c r="J7" i="36" s="1"/>
  <c r="J45" i="36"/>
  <c r="J46" i="36" s="1"/>
  <c r="L5" i="11"/>
  <c r="L5" i="16"/>
  <c r="L5" i="3"/>
  <c r="V7" i="3"/>
  <c r="W5" i="3" s="1"/>
  <c r="K43" i="15" l="1"/>
  <c r="K42" i="36"/>
  <c r="K46" i="36" s="1"/>
  <c r="K19" i="36"/>
  <c r="K20" i="36" s="1"/>
  <c r="K9" i="12"/>
  <c r="L36" i="15" s="1"/>
  <c r="L4" i="11" s="1"/>
  <c r="K32" i="36"/>
  <c r="K29" i="36"/>
  <c r="L39" i="10"/>
  <c r="K6" i="36"/>
  <c r="K3" i="36"/>
  <c r="L28" i="16"/>
  <c r="K4" i="11"/>
  <c r="W6" i="3"/>
  <c r="L7" i="3"/>
  <c r="E6" i="1"/>
  <c r="K7" i="36" l="1"/>
  <c r="K33" i="36"/>
  <c r="M28" i="16"/>
  <c r="M5" i="16"/>
  <c r="K14" i="12"/>
  <c r="W7" i="3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l="1"/>
  <c r="C22" i="10"/>
  <c r="X6" i="3"/>
  <c r="X7" i="3" s="1"/>
  <c r="B8" i="14"/>
  <c r="D23" i="10"/>
  <c r="D10" i="3"/>
  <c r="C21" i="3"/>
  <c r="C30" i="15" s="1"/>
  <c r="D11" i="3"/>
  <c r="C20" i="3"/>
  <c r="P19" i="3"/>
  <c r="P11" i="3"/>
  <c r="D22" i="10" l="1"/>
  <c r="E22" i="10" s="1"/>
  <c r="F22" i="10" s="1"/>
  <c r="G22" i="10" s="1"/>
  <c r="H22" i="10" s="1"/>
  <c r="I22" i="10" s="1"/>
  <c r="J22" i="10" s="1"/>
  <c r="K22" i="10" s="1"/>
  <c r="L22" i="10" s="1"/>
  <c r="C27" i="10"/>
  <c r="B23" i="12" s="1"/>
  <c r="B10" i="36" s="1"/>
  <c r="Y5" i="3"/>
  <c r="C6" i="31"/>
  <c r="C9" i="30"/>
  <c r="C8" i="29"/>
  <c r="C53" i="17"/>
  <c r="C40" i="17"/>
  <c r="C7" i="17"/>
  <c r="D32" i="15"/>
  <c r="C8" i="14"/>
  <c r="B32" i="12"/>
  <c r="C29" i="15"/>
  <c r="E23" i="10"/>
  <c r="E27" i="10" s="1"/>
  <c r="D12" i="3"/>
  <c r="D19" i="3"/>
  <c r="D28" i="15" s="1"/>
  <c r="P12" i="3"/>
  <c r="P20" i="3"/>
  <c r="B7" i="14" s="1"/>
  <c r="E11" i="3"/>
  <c r="D20" i="3"/>
  <c r="D27" i="10" l="1"/>
  <c r="B23" i="36"/>
  <c r="B36" i="17"/>
  <c r="B5" i="23"/>
  <c r="B49" i="36"/>
  <c r="D21" i="16"/>
  <c r="B36" i="36"/>
  <c r="Y6" i="3"/>
  <c r="Y7" i="3" s="1"/>
  <c r="D6" i="31"/>
  <c r="D9" i="30"/>
  <c r="D8" i="29"/>
  <c r="B7" i="29"/>
  <c r="B8" i="30"/>
  <c r="B5" i="31"/>
  <c r="C23" i="12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F11" i="3"/>
  <c r="E20" i="3"/>
  <c r="E10" i="3"/>
  <c r="D21" i="3"/>
  <c r="D30" i="15" s="1"/>
  <c r="Q10" i="3"/>
  <c r="P21" i="3"/>
  <c r="C10" i="36" l="1"/>
  <c r="C23" i="36"/>
  <c r="C49" i="36"/>
  <c r="C36" i="36"/>
  <c r="E21" i="16"/>
  <c r="E6" i="31"/>
  <c r="E9" i="30"/>
  <c r="E8" i="29"/>
  <c r="C8" i="30"/>
  <c r="C5" i="31"/>
  <c r="C7" i="29"/>
  <c r="C36" i="17"/>
  <c r="C5" i="23"/>
  <c r="D23" i="12"/>
  <c r="F32" i="15"/>
  <c r="E53" i="17"/>
  <c r="E40" i="17"/>
  <c r="E7" i="17"/>
  <c r="C39" i="17"/>
  <c r="C5" i="17"/>
  <c r="C51" i="17"/>
  <c r="E8" i="14"/>
  <c r="E29" i="15"/>
  <c r="D32" i="12"/>
  <c r="G23" i="10"/>
  <c r="G27" i="10" s="1"/>
  <c r="C6" i="14"/>
  <c r="Q11" i="3"/>
  <c r="Q20" i="3" s="1"/>
  <c r="C7" i="14" s="1"/>
  <c r="Q19" i="3"/>
  <c r="G11" i="3"/>
  <c r="F20" i="3"/>
  <c r="E12" i="3"/>
  <c r="E19" i="3"/>
  <c r="E28" i="15" s="1"/>
  <c r="D10" i="36" l="1"/>
  <c r="D49" i="36"/>
  <c r="D36" i="36"/>
  <c r="D23" i="36"/>
  <c r="D36" i="17"/>
  <c r="F6" i="31"/>
  <c r="F9" i="30"/>
  <c r="F8" i="29"/>
  <c r="D8" i="30"/>
  <c r="D5" i="31"/>
  <c r="D7" i="29"/>
  <c r="F21" i="16"/>
  <c r="D5" i="23"/>
  <c r="E23" i="12"/>
  <c r="G32" i="15"/>
  <c r="F53" i="17"/>
  <c r="F40" i="17"/>
  <c r="F7" i="17"/>
  <c r="D5" i="17"/>
  <c r="D51" i="17"/>
  <c r="D39" i="17"/>
  <c r="F8" i="14"/>
  <c r="H23" i="10"/>
  <c r="H27" i="10" s="1"/>
  <c r="E32" i="12"/>
  <c r="F29" i="15"/>
  <c r="D6" i="14"/>
  <c r="H11" i="3"/>
  <c r="G20" i="3"/>
  <c r="Q12" i="3"/>
  <c r="F10" i="3"/>
  <c r="E21" i="3"/>
  <c r="E30" i="15" s="1"/>
  <c r="E10" i="36" l="1"/>
  <c r="E49" i="36"/>
  <c r="E36" i="36"/>
  <c r="E23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F23" i="12"/>
  <c r="G23" i="12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10" i="36" l="1"/>
  <c r="F49" i="36"/>
  <c r="F36" i="36"/>
  <c r="F23" i="36"/>
  <c r="G10" i="36"/>
  <c r="G23" i="36"/>
  <c r="G49" i="36"/>
  <c r="G36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10" i="36" l="1"/>
  <c r="H49" i="36"/>
  <c r="H36" i="36"/>
  <c r="H23" i="36"/>
  <c r="H32" i="12"/>
  <c r="H7" i="29" s="1"/>
  <c r="K23" i="10"/>
  <c r="J27" i="10"/>
  <c r="I23" i="12" s="1"/>
  <c r="K11" i="3"/>
  <c r="J20" i="3"/>
  <c r="G5" i="31"/>
  <c r="G8" i="30"/>
  <c r="G7" i="29"/>
  <c r="H8" i="30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39" i="17" l="1"/>
  <c r="I10" i="36"/>
  <c r="I49" i="36"/>
  <c r="I36" i="36"/>
  <c r="I23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10" i="36" l="1"/>
  <c r="J49" i="36"/>
  <c r="J36" i="36"/>
  <c r="J23" i="36"/>
  <c r="K10" i="36"/>
  <c r="K23" i="36"/>
  <c r="K49" i="36"/>
  <c r="K36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35" i="10" l="1"/>
  <c r="C23" i="9"/>
  <c r="C30" i="10"/>
  <c r="C42" i="10" s="1"/>
  <c r="B25" i="12" s="1"/>
  <c r="C22" i="15" s="1"/>
  <c r="B37" i="36" l="1"/>
  <c r="B38" i="36" s="1"/>
  <c r="B39" i="36" s="1"/>
  <c r="B11" i="36"/>
  <c r="B12" i="36" s="1"/>
  <c r="B13" i="36" s="1"/>
  <c r="B50" i="36"/>
  <c r="B51" i="36" s="1"/>
  <c r="B52" i="36" s="1"/>
  <c r="B24" i="36"/>
  <c r="B25" i="36" s="1"/>
  <c r="B26" i="36" s="1"/>
  <c r="B4" i="35"/>
  <c r="B5" i="35" s="1"/>
  <c r="B4" i="23"/>
  <c r="B8" i="23" s="1"/>
  <c r="B12" i="23" s="1"/>
  <c r="B29" i="12"/>
  <c r="D22" i="16"/>
  <c r="D35" i="10"/>
  <c r="D30" i="10"/>
  <c r="D23" i="9"/>
  <c r="B14" i="23" l="1"/>
  <c r="B16" i="23" s="1"/>
  <c r="E35" i="10"/>
  <c r="E30" i="10"/>
  <c r="E23" i="9"/>
  <c r="D10" i="16"/>
  <c r="C6" i="11"/>
  <c r="D42" i="10"/>
  <c r="C25" i="12" s="1"/>
  <c r="D22" i="15" s="1"/>
  <c r="B6" i="35"/>
  <c r="C50" i="36" l="1"/>
  <c r="C51" i="36" s="1"/>
  <c r="C52" i="36" s="1"/>
  <c r="C37" i="36"/>
  <c r="C38" i="36" s="1"/>
  <c r="C39" i="36" s="1"/>
  <c r="C24" i="36"/>
  <c r="C25" i="36" s="1"/>
  <c r="C26" i="36" s="1"/>
  <c r="F35" i="10"/>
  <c r="F30" i="10"/>
  <c r="F23" i="9"/>
  <c r="C8" i="11"/>
  <c r="C11" i="11"/>
  <c r="C13" i="11" s="1"/>
  <c r="C4" i="23"/>
  <c r="C8" i="23" s="1"/>
  <c r="C12" i="23" s="1"/>
  <c r="E22" i="16"/>
  <c r="C4" i="35"/>
  <c r="C5" i="35" s="1"/>
  <c r="C11" i="36"/>
  <c r="C12" i="36" s="1"/>
  <c r="C13" i="36" s="1"/>
  <c r="C29" i="12"/>
  <c r="E42" i="10"/>
  <c r="D25" i="12" s="1"/>
  <c r="E22" i="15" s="1"/>
  <c r="F42" i="10" l="1"/>
  <c r="E25" i="12" s="1"/>
  <c r="F22" i="15" s="1"/>
  <c r="D50" i="36"/>
  <c r="D51" i="36" s="1"/>
  <c r="D52" i="36" s="1"/>
  <c r="D37" i="36"/>
  <c r="D38" i="36" s="1"/>
  <c r="D39" i="36" s="1"/>
  <c r="D24" i="36"/>
  <c r="D25" i="36" s="1"/>
  <c r="D26" i="36" s="1"/>
  <c r="G35" i="10"/>
  <c r="G23" i="9"/>
  <c r="G30" i="10"/>
  <c r="C6" i="35"/>
  <c r="E10" i="16"/>
  <c r="D6" i="11"/>
  <c r="C14" i="23"/>
  <c r="C16" i="23" s="1"/>
  <c r="D11" i="36"/>
  <c r="D12" i="36" s="1"/>
  <c r="D13" i="36" s="1"/>
  <c r="D4" i="23"/>
  <c r="D8" i="23" s="1"/>
  <c r="D12" i="23" s="1"/>
  <c r="D4" i="35"/>
  <c r="D5" i="35" s="1"/>
  <c r="F22" i="16"/>
  <c r="D29" i="12"/>
  <c r="E4" i="23" l="1"/>
  <c r="E8" i="23" s="1"/>
  <c r="E12" i="23" s="1"/>
  <c r="E14" i="23" s="1"/>
  <c r="E16" i="23" s="1"/>
  <c r="G22" i="16"/>
  <c r="E29" i="12"/>
  <c r="E6" i="35" s="1"/>
  <c r="E4" i="35"/>
  <c r="E5" i="35" s="1"/>
  <c r="E37" i="36"/>
  <c r="E38" i="36" s="1"/>
  <c r="E39" i="36" s="1"/>
  <c r="E50" i="36"/>
  <c r="E51" i="36" s="1"/>
  <c r="E52" i="36" s="1"/>
  <c r="E11" i="36"/>
  <c r="E12" i="36" s="1"/>
  <c r="E13" i="36" s="1"/>
  <c r="E24" i="36"/>
  <c r="E25" i="36" s="1"/>
  <c r="E26" i="36" s="1"/>
  <c r="G42" i="10"/>
  <c r="F25" i="12" s="1"/>
  <c r="G22" i="15" s="1"/>
  <c r="D6" i="35"/>
  <c r="G10" i="16"/>
  <c r="F6" i="11"/>
  <c r="F10" i="16"/>
  <c r="E6" i="11"/>
  <c r="D14" i="23"/>
  <c r="D16" i="23" s="1"/>
  <c r="H35" i="10"/>
  <c r="H30" i="10"/>
  <c r="H23" i="9"/>
  <c r="E15" i="1"/>
  <c r="E17" i="1" s="1"/>
  <c r="B13" i="2"/>
  <c r="D8" i="11"/>
  <c r="D11" i="11"/>
  <c r="D13" i="11" s="1"/>
  <c r="C15" i="11"/>
  <c r="C39" i="20" l="1"/>
  <c r="E13" i="2"/>
  <c r="E15" i="2" s="1"/>
  <c r="F4" i="35"/>
  <c r="F5" i="35" s="1"/>
  <c r="F29" i="12"/>
  <c r="F6" i="35" s="1"/>
  <c r="F4" i="23"/>
  <c r="F8" i="23" s="1"/>
  <c r="F12" i="23" s="1"/>
  <c r="F14" i="23" s="1"/>
  <c r="F16" i="23" s="1"/>
  <c r="F50" i="36"/>
  <c r="F51" i="36" s="1"/>
  <c r="F52" i="36" s="1"/>
  <c r="H42" i="10"/>
  <c r="G25" i="12" s="1"/>
  <c r="H22" i="15" s="1"/>
  <c r="H22" i="16"/>
  <c r="F24" i="36"/>
  <c r="F25" i="36" s="1"/>
  <c r="F26" i="36" s="1"/>
  <c r="F11" i="36"/>
  <c r="F12" i="36" s="1"/>
  <c r="F13" i="36" s="1"/>
  <c r="F37" i="36"/>
  <c r="F38" i="36" s="1"/>
  <c r="F39" i="36" s="1"/>
  <c r="D15" i="11"/>
  <c r="E8" i="11"/>
  <c r="E11" i="11"/>
  <c r="E13" i="11" s="1"/>
  <c r="F8" i="11"/>
  <c r="F11" i="11"/>
  <c r="F13" i="11" s="1"/>
  <c r="C21" i="15"/>
  <c r="D8" i="16" s="1"/>
  <c r="D12" i="16" s="1"/>
  <c r="B31" i="12"/>
  <c r="B15" i="2"/>
  <c r="I35" i="10"/>
  <c r="I30" i="10"/>
  <c r="I23" i="9"/>
  <c r="H10" i="16"/>
  <c r="G6" i="11"/>
  <c r="I22" i="16" l="1"/>
  <c r="G11" i="36"/>
  <c r="G12" i="36" s="1"/>
  <c r="G13" i="36" s="1"/>
  <c r="G37" i="36"/>
  <c r="G38" i="36" s="1"/>
  <c r="G39" i="36" s="1"/>
  <c r="G29" i="12"/>
  <c r="G6" i="35" s="1"/>
  <c r="G4" i="35"/>
  <c r="G5" i="35" s="1"/>
  <c r="G50" i="36"/>
  <c r="G51" i="36" s="1"/>
  <c r="G52" i="36" s="1"/>
  <c r="G4" i="23"/>
  <c r="G8" i="23" s="1"/>
  <c r="G12" i="23" s="1"/>
  <c r="G14" i="23" s="1"/>
  <c r="G16" i="23" s="1"/>
  <c r="G24" i="36"/>
  <c r="G25" i="36" s="1"/>
  <c r="G26" i="36" s="1"/>
  <c r="I42" i="10"/>
  <c r="H25" i="12" s="1"/>
  <c r="I22" i="15" s="1"/>
  <c r="C13" i="2"/>
  <c r="C15" i="2"/>
  <c r="D27" i="16"/>
  <c r="B38" i="17"/>
  <c r="B34" i="12"/>
  <c r="C31" i="12"/>
  <c r="D21" i="15"/>
  <c r="E8" i="16" s="1"/>
  <c r="E12" i="16" s="1"/>
  <c r="J35" i="10"/>
  <c r="J23" i="9"/>
  <c r="J30" i="10"/>
  <c r="G8" i="11"/>
  <c r="G11" i="11"/>
  <c r="G13" i="11" s="1"/>
  <c r="C9" i="2"/>
  <c r="C8" i="2"/>
  <c r="C6" i="2"/>
  <c r="C12" i="2"/>
  <c r="C10" i="2"/>
  <c r="B16" i="29"/>
  <c r="C7" i="2"/>
  <c r="C11" i="2"/>
  <c r="B23" i="2"/>
  <c r="C5" i="2"/>
  <c r="B19" i="30"/>
  <c r="B20" i="2"/>
  <c r="B20" i="17"/>
  <c r="F15" i="11"/>
  <c r="E15" i="11"/>
  <c r="I10" i="16"/>
  <c r="H6" i="11"/>
  <c r="H4" i="23" l="1"/>
  <c r="H8" i="23" s="1"/>
  <c r="H12" i="23" s="1"/>
  <c r="J22" i="16"/>
  <c r="H37" i="36"/>
  <c r="H38" i="36" s="1"/>
  <c r="H39" i="36" s="1"/>
  <c r="H29" i="12"/>
  <c r="H50" i="36"/>
  <c r="H51" i="36" s="1"/>
  <c r="H52" i="36" s="1"/>
  <c r="H11" i="36"/>
  <c r="H12" i="36" s="1"/>
  <c r="H13" i="36" s="1"/>
  <c r="H24" i="36"/>
  <c r="H25" i="36" s="1"/>
  <c r="H26" i="36" s="1"/>
  <c r="B30" i="17"/>
  <c r="D31" i="12"/>
  <c r="E21" i="15"/>
  <c r="F8" i="16" s="1"/>
  <c r="F12" i="16" s="1"/>
  <c r="E31" i="12"/>
  <c r="F21" i="15"/>
  <c r="H14" i="23"/>
  <c r="H16" i="23" s="1"/>
  <c r="J42" i="10"/>
  <c r="I25" i="12" s="1"/>
  <c r="J22" i="15" s="1"/>
  <c r="E27" i="16"/>
  <c r="C38" i="17"/>
  <c r="C34" i="12"/>
  <c r="C20" i="2"/>
  <c r="B13" i="15"/>
  <c r="C23" i="2"/>
  <c r="B13" i="34"/>
  <c r="O16" i="34" s="1"/>
  <c r="B26" i="29"/>
  <c r="B23" i="30"/>
  <c r="C21" i="2"/>
  <c r="B9" i="34"/>
  <c r="M16" i="34" s="1"/>
  <c r="J10" i="16"/>
  <c r="I6" i="11"/>
  <c r="H8" i="11"/>
  <c r="H11" i="11"/>
  <c r="H13" i="11" s="1"/>
  <c r="B19" i="2"/>
  <c r="G15" i="11"/>
  <c r="B20" i="28"/>
  <c r="A24" i="28" s="1"/>
  <c r="K35" i="10"/>
  <c r="K30" i="10"/>
  <c r="K42" i="10" s="1"/>
  <c r="J25" i="12" s="1"/>
  <c r="K22" i="15" s="1"/>
  <c r="K23" i="9"/>
  <c r="B7" i="35"/>
  <c r="B5" i="14"/>
  <c r="B9" i="14" s="1"/>
  <c r="B10" i="14" l="1"/>
  <c r="B12" i="14" s="1"/>
  <c r="J24" i="36"/>
  <c r="J25" i="36" s="1"/>
  <c r="J26" i="36" s="1"/>
  <c r="J50" i="36"/>
  <c r="J51" i="36" s="1"/>
  <c r="J52" i="36" s="1"/>
  <c r="J37" i="36"/>
  <c r="J38" i="36" s="1"/>
  <c r="J39" i="36" s="1"/>
  <c r="I24" i="36"/>
  <c r="I25" i="36" s="1"/>
  <c r="I26" i="36" s="1"/>
  <c r="I50" i="36"/>
  <c r="I51" i="36" s="1"/>
  <c r="I52" i="36" s="1"/>
  <c r="I37" i="36"/>
  <c r="I38" i="36" s="1"/>
  <c r="I39" i="36" s="1"/>
  <c r="C30" i="17"/>
  <c r="G8" i="16"/>
  <c r="G12" i="16" s="1"/>
  <c r="I8" i="11"/>
  <c r="I11" i="11"/>
  <c r="I13" i="11" s="1"/>
  <c r="I11" i="36"/>
  <c r="I12" i="36" s="1"/>
  <c r="I13" i="36" s="1"/>
  <c r="K22" i="16"/>
  <c r="I29" i="12"/>
  <c r="E38" i="17"/>
  <c r="G27" i="16"/>
  <c r="E34" i="12"/>
  <c r="C19" i="2"/>
  <c r="B7" i="15"/>
  <c r="C7" i="15"/>
  <c r="C9" i="16"/>
  <c r="C13" i="15"/>
  <c r="C5" i="14"/>
  <c r="C9" i="14" s="1"/>
  <c r="C7" i="35"/>
  <c r="L35" i="10"/>
  <c r="L30" i="10"/>
  <c r="H15" i="11"/>
  <c r="J11" i="36"/>
  <c r="J12" i="36" s="1"/>
  <c r="J13" i="36" s="1"/>
  <c r="L22" i="16"/>
  <c r="J29" i="12"/>
  <c r="F31" i="12"/>
  <c r="G21" i="15"/>
  <c r="H8" i="16" s="1"/>
  <c r="H12" i="16" s="1"/>
  <c r="F27" i="16"/>
  <c r="D38" i="17"/>
  <c r="D34" i="12"/>
  <c r="C10" i="14" l="1"/>
  <c r="C11" i="14" s="1"/>
  <c r="C12" i="14" s="1"/>
  <c r="C13" i="14" s="1"/>
  <c r="D30" i="17"/>
  <c r="E30" i="17"/>
  <c r="L42" i="10"/>
  <c r="K25" i="12" s="1"/>
  <c r="L22" i="15" s="1"/>
  <c r="B9" i="15"/>
  <c r="B24" i="15" s="1"/>
  <c r="C7" i="16"/>
  <c r="C12" i="16" s="1"/>
  <c r="C33" i="16" s="1"/>
  <c r="C35" i="16" s="1"/>
  <c r="E7" i="35"/>
  <c r="E5" i="14"/>
  <c r="E9" i="14" s="1"/>
  <c r="I15" i="11"/>
  <c r="H27" i="16"/>
  <c r="F38" i="17"/>
  <c r="F34" i="12"/>
  <c r="D13" i="15"/>
  <c r="G31" i="12"/>
  <c r="H21" i="15"/>
  <c r="I8" i="16" s="1"/>
  <c r="I12" i="16" s="1"/>
  <c r="D5" i="14"/>
  <c r="D9" i="14" s="1"/>
  <c r="D7" i="35"/>
  <c r="L10" i="16"/>
  <c r="K6" i="11"/>
  <c r="C9" i="15"/>
  <c r="B13" i="33" s="1"/>
  <c r="D7" i="15"/>
  <c r="K10" i="16"/>
  <c r="J6" i="11"/>
  <c r="B13" i="14" l="1"/>
  <c r="B35" i="12" s="1"/>
  <c r="E11" i="14"/>
  <c r="C35" i="12"/>
  <c r="C36" i="12" s="1"/>
  <c r="C29" i="17" s="1"/>
  <c r="C33" i="17" s="1"/>
  <c r="C42" i="17" s="1"/>
  <c r="D10" i="14"/>
  <c r="E10" i="14"/>
  <c r="F11" i="14" s="1"/>
  <c r="K50" i="36"/>
  <c r="K51" i="36" s="1"/>
  <c r="K52" i="36" s="1"/>
  <c r="K37" i="36"/>
  <c r="K38" i="36" s="1"/>
  <c r="K39" i="36" s="1"/>
  <c r="K24" i="36"/>
  <c r="K25" i="36" s="1"/>
  <c r="K26" i="36" s="1"/>
  <c r="F30" i="17"/>
  <c r="F5" i="14"/>
  <c r="F9" i="14" s="1"/>
  <c r="F7" i="35"/>
  <c r="D34" i="16"/>
  <c r="B47" i="15"/>
  <c r="B29" i="33"/>
  <c r="I27" i="16"/>
  <c r="G38" i="17"/>
  <c r="G34" i="12"/>
  <c r="D9" i="15"/>
  <c r="C13" i="33" s="1"/>
  <c r="E7" i="15"/>
  <c r="J8" i="11"/>
  <c r="J11" i="11"/>
  <c r="J13" i="11" s="1"/>
  <c r="K8" i="11"/>
  <c r="K11" i="11"/>
  <c r="K13" i="11" s="1"/>
  <c r="E13" i="15"/>
  <c r="H31" i="12"/>
  <c r="I21" i="15"/>
  <c r="J8" i="16" s="1"/>
  <c r="J12" i="16" s="1"/>
  <c r="K11" i="36"/>
  <c r="K12" i="36" s="1"/>
  <c r="K13" i="36" s="1"/>
  <c r="M22" i="16"/>
  <c r="K29" i="12"/>
  <c r="D12" i="14" l="1"/>
  <c r="D13" i="14" s="1"/>
  <c r="D35" i="12" s="1"/>
  <c r="F30" i="16" s="1"/>
  <c r="F32" i="16" s="1"/>
  <c r="F33" i="16" s="1"/>
  <c r="D30" i="16"/>
  <c r="D32" i="16" s="1"/>
  <c r="D33" i="16" s="1"/>
  <c r="D35" i="16" s="1"/>
  <c r="B36" i="12"/>
  <c r="B29" i="17" s="1"/>
  <c r="B33" i="17" s="1"/>
  <c r="B42" i="17" s="1"/>
  <c r="E30" i="16"/>
  <c r="E32" i="16" s="1"/>
  <c r="E33" i="16" s="1"/>
  <c r="F10" i="14"/>
  <c r="G11" i="14" s="1"/>
  <c r="E12" i="14"/>
  <c r="C8" i="35"/>
  <c r="C4" i="31"/>
  <c r="C14" i="31" s="1"/>
  <c r="C6" i="30"/>
  <c r="C11" i="30" s="1"/>
  <c r="C15" i="30" s="1"/>
  <c r="C6" i="34"/>
  <c r="C3" i="17"/>
  <c r="C11" i="17" s="1"/>
  <c r="C15" i="17" s="1"/>
  <c r="C5" i="29"/>
  <c r="C10" i="29" s="1"/>
  <c r="C13" i="29" s="1"/>
  <c r="C50" i="17"/>
  <c r="C55" i="17" s="1"/>
  <c r="C58" i="17" s="1"/>
  <c r="D18" i="15"/>
  <c r="E4" i="26"/>
  <c r="E5" i="26" s="1"/>
  <c r="E12" i="26" s="1"/>
  <c r="C12" i="28" s="1"/>
  <c r="C13" i="28" s="1"/>
  <c r="G30" i="17"/>
  <c r="M10" i="16"/>
  <c r="L6" i="11"/>
  <c r="F13" i="15"/>
  <c r="C37" i="16"/>
  <c r="C39" i="16" s="1"/>
  <c r="B50" i="15"/>
  <c r="B52" i="15" s="1"/>
  <c r="H38" i="17"/>
  <c r="J27" i="16"/>
  <c r="H34" i="12"/>
  <c r="K15" i="11"/>
  <c r="E9" i="15"/>
  <c r="D13" i="33" s="1"/>
  <c r="F7" i="15"/>
  <c r="G5" i="14"/>
  <c r="G9" i="14" s="1"/>
  <c r="G7" i="35"/>
  <c r="C29" i="33"/>
  <c r="J15" i="11"/>
  <c r="B50" i="17" l="1"/>
  <c r="B55" i="17" s="1"/>
  <c r="B58" i="17" s="1"/>
  <c r="B60" i="17" s="1"/>
  <c r="D4" i="26"/>
  <c r="D5" i="26" s="1"/>
  <c r="D12" i="26" s="1"/>
  <c r="B12" i="28" s="1"/>
  <c r="B13" i="28" s="1"/>
  <c r="B6" i="34"/>
  <c r="B5" i="29"/>
  <c r="B10" i="29" s="1"/>
  <c r="B4" i="31"/>
  <c r="B6" i="30"/>
  <c r="B11" i="30" s="1"/>
  <c r="B15" i="30" s="1"/>
  <c r="B41" i="12"/>
  <c r="C41" i="12" s="1"/>
  <c r="B3" i="17"/>
  <c r="B11" i="17" s="1"/>
  <c r="B15" i="17" s="1"/>
  <c r="C18" i="15"/>
  <c r="C19" i="15" s="1"/>
  <c r="B14" i="33" s="1"/>
  <c r="B16" i="33" s="1"/>
  <c r="B18" i="33" s="1"/>
  <c r="B8" i="35"/>
  <c r="C47" i="15"/>
  <c r="C50" i="15" s="1"/>
  <c r="E34" i="16"/>
  <c r="E35" i="16" s="1"/>
  <c r="F34" i="16" s="1"/>
  <c r="F35" i="16" s="1"/>
  <c r="E13" i="14"/>
  <c r="E35" i="12" s="1"/>
  <c r="D13" i="26"/>
  <c r="B9" i="28" s="1"/>
  <c r="B10" i="28" s="1"/>
  <c r="B16" i="28" s="1"/>
  <c r="B18" i="28" s="1"/>
  <c r="D36" i="12"/>
  <c r="D29" i="17" s="1"/>
  <c r="D33" i="17" s="1"/>
  <c r="D42" i="17" s="1"/>
  <c r="F12" i="14"/>
  <c r="G10" i="14"/>
  <c r="H11" i="14" s="1"/>
  <c r="E13" i="26"/>
  <c r="C9" i="28" s="1"/>
  <c r="C10" i="28" s="1"/>
  <c r="C16" i="28" s="1"/>
  <c r="C24" i="28" s="1"/>
  <c r="C12" i="31"/>
  <c r="C23" i="29"/>
  <c r="H30" i="17"/>
  <c r="J31" i="12"/>
  <c r="K21" i="15"/>
  <c r="I31" i="12"/>
  <c r="J21" i="15"/>
  <c r="K8" i="16" s="1"/>
  <c r="K12" i="16" s="1"/>
  <c r="F9" i="15"/>
  <c r="E13" i="33" s="1"/>
  <c r="G7" i="15"/>
  <c r="H5" i="14"/>
  <c r="H9" i="14" s="1"/>
  <c r="H10" i="14" s="1"/>
  <c r="I11" i="14" s="1"/>
  <c r="D29" i="33"/>
  <c r="G13" i="15"/>
  <c r="L8" i="11"/>
  <c r="L11" i="11"/>
  <c r="L13" i="11" s="1"/>
  <c r="D47" i="15" l="1"/>
  <c r="D50" i="15" s="1"/>
  <c r="C24" i="15"/>
  <c r="C52" i="15" s="1"/>
  <c r="D16" i="15"/>
  <c r="D19" i="15" s="1"/>
  <c r="C30" i="33" s="1"/>
  <c r="C32" i="33" s="1"/>
  <c r="C34" i="33" s="1"/>
  <c r="B12" i="31"/>
  <c r="B16" i="31" s="1"/>
  <c r="B14" i="31"/>
  <c r="B17" i="31" s="1"/>
  <c r="B13" i="29"/>
  <c r="B23" i="29"/>
  <c r="B30" i="33"/>
  <c r="B32" i="33" s="1"/>
  <c r="B34" i="33" s="1"/>
  <c r="D37" i="16"/>
  <c r="D39" i="16" s="1"/>
  <c r="B24" i="28"/>
  <c r="F13" i="14"/>
  <c r="F35" i="12" s="1"/>
  <c r="D6" i="34"/>
  <c r="E36" i="12"/>
  <c r="G30" i="16"/>
  <c r="G32" i="16" s="1"/>
  <c r="G33" i="16" s="1"/>
  <c r="D6" i="30"/>
  <c r="D11" i="30" s="1"/>
  <c r="D15" i="30" s="1"/>
  <c r="D4" i="31"/>
  <c r="D14" i="31" s="1"/>
  <c r="E18" i="15"/>
  <c r="D5" i="29"/>
  <c r="D10" i="29" s="1"/>
  <c r="D23" i="29" s="1"/>
  <c r="F4" i="26"/>
  <c r="F5" i="26" s="1"/>
  <c r="F13" i="26" s="1"/>
  <c r="D9" i="28" s="1"/>
  <c r="D10" i="28" s="1"/>
  <c r="D41" i="12"/>
  <c r="D3" i="17"/>
  <c r="D11" i="17" s="1"/>
  <c r="D15" i="17" s="1"/>
  <c r="D8" i="35"/>
  <c r="D50" i="17"/>
  <c r="D55" i="17" s="1"/>
  <c r="D58" i="17" s="1"/>
  <c r="G12" i="14"/>
  <c r="C18" i="28"/>
  <c r="H12" i="14"/>
  <c r="E37" i="16"/>
  <c r="E39" i="16" s="1"/>
  <c r="K27" i="16"/>
  <c r="I38" i="17"/>
  <c r="I34" i="12"/>
  <c r="L15" i="11"/>
  <c r="H13" i="15"/>
  <c r="E47" i="15"/>
  <c r="E50" i="15" s="1"/>
  <c r="G34" i="16"/>
  <c r="L8" i="16"/>
  <c r="L12" i="16" s="1"/>
  <c r="G9" i="15"/>
  <c r="F13" i="33" s="1"/>
  <c r="H7" i="15"/>
  <c r="J38" i="17"/>
  <c r="L27" i="16"/>
  <c r="J34" i="12"/>
  <c r="E29" i="33"/>
  <c r="D24" i="15" l="1"/>
  <c r="D52" i="15" s="1"/>
  <c r="E16" i="15"/>
  <c r="C14" i="33"/>
  <c r="C16" i="33" s="1"/>
  <c r="C18" i="33" s="1"/>
  <c r="E41" i="12"/>
  <c r="D13" i="29"/>
  <c r="F36" i="12"/>
  <c r="H30" i="16"/>
  <c r="H32" i="16" s="1"/>
  <c r="H33" i="16" s="1"/>
  <c r="H13" i="14"/>
  <c r="H35" i="12" s="1"/>
  <c r="G13" i="14"/>
  <c r="G35" i="12" s="1"/>
  <c r="G35" i="16"/>
  <c r="F47" i="15" s="1"/>
  <c r="F50" i="15" s="1"/>
  <c r="D12" i="31"/>
  <c r="E29" i="17"/>
  <c r="E33" i="17" s="1"/>
  <c r="E42" i="17" s="1"/>
  <c r="E8" i="35"/>
  <c r="G4" i="26"/>
  <c r="G5" i="26" s="1"/>
  <c r="E5" i="29"/>
  <c r="E10" i="29" s="1"/>
  <c r="E6" i="30"/>
  <c r="E11" i="30" s="1"/>
  <c r="E15" i="30" s="1"/>
  <c r="E50" i="17"/>
  <c r="E55" i="17" s="1"/>
  <c r="E58" i="17" s="1"/>
  <c r="F18" i="15"/>
  <c r="E4" i="31"/>
  <c r="E3" i="17"/>
  <c r="E11" i="17" s="1"/>
  <c r="E15" i="17" s="1"/>
  <c r="E6" i="34"/>
  <c r="E19" i="15"/>
  <c r="E24" i="15" s="1"/>
  <c r="E52" i="15" s="1"/>
  <c r="F12" i="26"/>
  <c r="D12" i="28" s="1"/>
  <c r="D13" i="28" s="1"/>
  <c r="D16" i="28" s="1"/>
  <c r="D18" i="28" s="1"/>
  <c r="I30" i="17"/>
  <c r="J30" i="17"/>
  <c r="I13" i="15"/>
  <c r="J13" i="15" s="1"/>
  <c r="K13" i="15" s="1"/>
  <c r="L13" i="15" s="1"/>
  <c r="J5" i="14"/>
  <c r="J9" i="14" s="1"/>
  <c r="F37" i="16"/>
  <c r="F39" i="16" s="1"/>
  <c r="K31" i="12"/>
  <c r="L21" i="15"/>
  <c r="M8" i="16" s="1"/>
  <c r="M12" i="16" s="1"/>
  <c r="I5" i="14"/>
  <c r="I9" i="14" s="1"/>
  <c r="I7" i="15"/>
  <c r="H9" i="15"/>
  <c r="G13" i="33" s="1"/>
  <c r="F29" i="33"/>
  <c r="O17" i="34" l="1"/>
  <c r="O18" i="34" s="1"/>
  <c r="F41" i="12"/>
  <c r="I30" i="16"/>
  <c r="I32" i="16" s="1"/>
  <c r="I33" i="16" s="1"/>
  <c r="G36" i="12"/>
  <c r="G29" i="17" s="1"/>
  <c r="G33" i="17" s="1"/>
  <c r="G42" i="17" s="1"/>
  <c r="H36" i="12"/>
  <c r="H29" i="17" s="1"/>
  <c r="H33" i="17" s="1"/>
  <c r="H42" i="17" s="1"/>
  <c r="J30" i="16"/>
  <c r="J32" i="16" s="1"/>
  <c r="J33" i="16" s="1"/>
  <c r="H4" i="26"/>
  <c r="H5" i="26" s="1"/>
  <c r="F5" i="29"/>
  <c r="F10" i="29" s="1"/>
  <c r="F4" i="31"/>
  <c r="F6" i="30"/>
  <c r="F11" i="30" s="1"/>
  <c r="F15" i="30" s="1"/>
  <c r="F6" i="34"/>
  <c r="F50" i="17"/>
  <c r="F55" i="17" s="1"/>
  <c r="F58" i="17" s="1"/>
  <c r="F29" i="17"/>
  <c r="F33" i="17" s="1"/>
  <c r="F42" i="17" s="1"/>
  <c r="G18" i="15"/>
  <c r="F8" i="35"/>
  <c r="F3" i="17"/>
  <c r="F11" i="17" s="1"/>
  <c r="F15" i="17" s="1"/>
  <c r="H34" i="16"/>
  <c r="H35" i="16" s="1"/>
  <c r="G47" i="15" s="1"/>
  <c r="G50" i="15" s="1"/>
  <c r="F16" i="15"/>
  <c r="F19" i="15" s="1"/>
  <c r="E30" i="33" s="1"/>
  <c r="E32" i="33" s="1"/>
  <c r="E34" i="33" s="1"/>
  <c r="E14" i="31"/>
  <c r="E12" i="31"/>
  <c r="E13" i="29"/>
  <c r="E23" i="29"/>
  <c r="D24" i="28"/>
  <c r="G12" i="26"/>
  <c r="E12" i="28" s="1"/>
  <c r="E13" i="28" s="1"/>
  <c r="G13" i="26"/>
  <c r="E9" i="28" s="1"/>
  <c r="E10" i="28" s="1"/>
  <c r="D30" i="33"/>
  <c r="D32" i="33" s="1"/>
  <c r="D34" i="33" s="1"/>
  <c r="D14" i="33"/>
  <c r="D16" i="33" s="1"/>
  <c r="D18" i="33" s="1"/>
  <c r="J10" i="14"/>
  <c r="K11" i="14" s="1"/>
  <c r="I10" i="14"/>
  <c r="J11" i="14" s="1"/>
  <c r="G37" i="16"/>
  <c r="G39" i="16" s="1"/>
  <c r="G29" i="33"/>
  <c r="I9" i="15"/>
  <c r="J7" i="15"/>
  <c r="M27" i="16"/>
  <c r="K38" i="17"/>
  <c r="K34" i="12"/>
  <c r="G16" i="15" l="1"/>
  <c r="G19" i="15" s="1"/>
  <c r="F14" i="33" s="1"/>
  <c r="F16" i="33" s="1"/>
  <c r="F18" i="33" s="1"/>
  <c r="G41" i="12"/>
  <c r="H41" i="12" s="1"/>
  <c r="G8" i="35"/>
  <c r="G4" i="31"/>
  <c r="G12" i="31" s="1"/>
  <c r="O19" i="34"/>
  <c r="G6" i="30"/>
  <c r="G11" i="30" s="1"/>
  <c r="G15" i="30" s="1"/>
  <c r="G3" i="17"/>
  <c r="G11" i="17" s="1"/>
  <c r="G15" i="17" s="1"/>
  <c r="B17" i="17" s="1"/>
  <c r="B22" i="17" s="1"/>
  <c r="G5" i="29"/>
  <c r="G10" i="29" s="1"/>
  <c r="G23" i="29" s="1"/>
  <c r="I4" i="26"/>
  <c r="I5" i="26" s="1"/>
  <c r="I12" i="26" s="1"/>
  <c r="G12" i="28" s="1"/>
  <c r="G13" i="28" s="1"/>
  <c r="H18" i="15"/>
  <c r="G50" i="17"/>
  <c r="G55" i="17" s="1"/>
  <c r="G58" i="17" s="1"/>
  <c r="I18" i="15"/>
  <c r="H4" i="31"/>
  <c r="H3" i="17"/>
  <c r="H11" i="17" s="1"/>
  <c r="H15" i="17" s="1"/>
  <c r="H50" i="17"/>
  <c r="H55" i="17" s="1"/>
  <c r="B26" i="17"/>
  <c r="J4" i="26"/>
  <c r="J5" i="26" s="1"/>
  <c r="J12" i="26" s="1"/>
  <c r="H12" i="28" s="1"/>
  <c r="H13" i="28" s="1"/>
  <c r="H5" i="29"/>
  <c r="H10" i="29" s="1"/>
  <c r="H23" i="29" s="1"/>
  <c r="H6" i="30"/>
  <c r="H11" i="30" s="1"/>
  <c r="H15" i="30" s="1"/>
  <c r="H6" i="34"/>
  <c r="I34" i="16"/>
  <c r="I35" i="16" s="1"/>
  <c r="E14" i="33"/>
  <c r="E16" i="33" s="1"/>
  <c r="E18" i="33" s="1"/>
  <c r="F24" i="15"/>
  <c r="F52" i="15" s="1"/>
  <c r="G6" i="34"/>
  <c r="H13" i="26"/>
  <c r="F9" i="28" s="1"/>
  <c r="F10" i="28" s="1"/>
  <c r="H12" i="26"/>
  <c r="F12" i="28" s="1"/>
  <c r="F13" i="28" s="1"/>
  <c r="F12" i="31"/>
  <c r="F14" i="31"/>
  <c r="I13" i="26"/>
  <c r="G9" i="28" s="1"/>
  <c r="G10" i="28" s="1"/>
  <c r="G16" i="28" s="1"/>
  <c r="G24" i="28" s="1"/>
  <c r="F23" i="29"/>
  <c r="F13" i="29"/>
  <c r="E16" i="28"/>
  <c r="E24" i="28" s="1"/>
  <c r="G13" i="29"/>
  <c r="J12" i="14"/>
  <c r="I12" i="14"/>
  <c r="K30" i="17"/>
  <c r="K5" i="14"/>
  <c r="K9" i="14" s="1"/>
  <c r="J9" i="15"/>
  <c r="K7" i="15"/>
  <c r="H37" i="16"/>
  <c r="H39" i="16" s="1"/>
  <c r="J34" i="16"/>
  <c r="J35" i="16" s="1"/>
  <c r="H47" i="15"/>
  <c r="H50" i="15" s="1"/>
  <c r="G14" i="31" l="1"/>
  <c r="M17" i="34"/>
  <c r="B24" i="17"/>
  <c r="M18" i="34"/>
  <c r="H13" i="29"/>
  <c r="H16" i="15"/>
  <c r="H19" i="15" s="1"/>
  <c r="G14" i="33" s="1"/>
  <c r="G16" i="33" s="1"/>
  <c r="G18" i="33" s="1"/>
  <c r="B19" i="33"/>
  <c r="F30" i="33"/>
  <c r="F32" i="33" s="1"/>
  <c r="F34" i="33" s="1"/>
  <c r="G24" i="15"/>
  <c r="G52" i="15" s="1"/>
  <c r="J13" i="26"/>
  <c r="H9" i="28" s="1"/>
  <c r="H10" i="28" s="1"/>
  <c r="H16" i="28" s="1"/>
  <c r="H18" i="28" s="1"/>
  <c r="G18" i="28"/>
  <c r="F16" i="28"/>
  <c r="F18" i="28" s="1"/>
  <c r="I13" i="14"/>
  <c r="I35" i="12" s="1"/>
  <c r="J13" i="14"/>
  <c r="J35" i="12" s="1"/>
  <c r="E18" i="28"/>
  <c r="K10" i="14"/>
  <c r="K12" i="14" s="1"/>
  <c r="L7" i="15"/>
  <c r="L9" i="15" s="1"/>
  <c r="K9" i="15"/>
  <c r="K34" i="16"/>
  <c r="I47" i="15"/>
  <c r="I50" i="15" s="1"/>
  <c r="I37" i="16"/>
  <c r="I39" i="16" s="1"/>
  <c r="H24" i="15" l="1"/>
  <c r="H52" i="15" s="1"/>
  <c r="I16" i="15"/>
  <c r="I19" i="15" s="1"/>
  <c r="I24" i="15" s="1"/>
  <c r="I52" i="15" s="1"/>
  <c r="G30" i="33"/>
  <c r="G32" i="33" s="1"/>
  <c r="G34" i="33" s="1"/>
  <c r="B35" i="33" s="1"/>
  <c r="H24" i="28"/>
  <c r="F24" i="28"/>
  <c r="B19" i="28"/>
  <c r="B21" i="28" s="1"/>
  <c r="L30" i="16"/>
  <c r="L32" i="16" s="1"/>
  <c r="L33" i="16" s="1"/>
  <c r="J36" i="12"/>
  <c r="J29" i="17" s="1"/>
  <c r="J33" i="17" s="1"/>
  <c r="J42" i="17" s="1"/>
  <c r="K30" i="16"/>
  <c r="K32" i="16" s="1"/>
  <c r="K33" i="16" s="1"/>
  <c r="K35" i="16" s="1"/>
  <c r="I36" i="12"/>
  <c r="I5" i="29" s="1"/>
  <c r="I10" i="29" s="1"/>
  <c r="I23" i="29" s="1"/>
  <c r="K13" i="14"/>
  <c r="K35" i="12" s="1"/>
  <c r="J37" i="16"/>
  <c r="J39" i="16" s="1"/>
  <c r="J16" i="15" l="1"/>
  <c r="B22" i="28"/>
  <c r="J5" i="29"/>
  <c r="J10" i="29" s="1"/>
  <c r="J23" i="29" s="1"/>
  <c r="J6" i="30"/>
  <c r="J11" i="30" s="1"/>
  <c r="J15" i="30" s="1"/>
  <c r="J50" i="17"/>
  <c r="J55" i="17" s="1"/>
  <c r="K18" i="15"/>
  <c r="J6" i="34"/>
  <c r="J47" i="15"/>
  <c r="J50" i="15" s="1"/>
  <c r="L34" i="16"/>
  <c r="L35" i="16" s="1"/>
  <c r="K47" i="15" s="1"/>
  <c r="K50" i="15" s="1"/>
  <c r="K36" i="12"/>
  <c r="L18" i="15" s="1"/>
  <c r="M30" i="16"/>
  <c r="M32" i="16" s="1"/>
  <c r="M33" i="16" s="1"/>
  <c r="I6" i="34"/>
  <c r="M19" i="34" s="1"/>
  <c r="I29" i="17"/>
  <c r="I33" i="17" s="1"/>
  <c r="I42" i="17" s="1"/>
  <c r="I41" i="12"/>
  <c r="J41" i="12" s="1"/>
  <c r="I50" i="17"/>
  <c r="I55" i="17" s="1"/>
  <c r="J18" i="15"/>
  <c r="J19" i="15" s="1"/>
  <c r="K16" i="15" s="1"/>
  <c r="I6" i="30"/>
  <c r="I11" i="30" s="1"/>
  <c r="I15" i="30" s="1"/>
  <c r="I13" i="29"/>
  <c r="M34" i="16" l="1"/>
  <c r="M35" i="16" s="1"/>
  <c r="L47" i="15" s="1"/>
  <c r="L50" i="15" s="1"/>
  <c r="K37" i="16"/>
  <c r="K39" i="16" s="1"/>
  <c r="K41" i="12"/>
  <c r="J13" i="29"/>
  <c r="K6" i="34"/>
  <c r="K19" i="15"/>
  <c r="K24" i="15" s="1"/>
  <c r="K52" i="15" s="1"/>
  <c r="K29" i="17"/>
  <c r="K33" i="17" s="1"/>
  <c r="K42" i="17" s="1"/>
  <c r="B44" i="17" s="1"/>
  <c r="K6" i="30"/>
  <c r="K11" i="30" s="1"/>
  <c r="K15" i="30" s="1"/>
  <c r="B17" i="30" s="1"/>
  <c r="B21" i="30" s="1"/>
  <c r="K50" i="17"/>
  <c r="K55" i="17" s="1"/>
  <c r="K5" i="29"/>
  <c r="K10" i="29" s="1"/>
  <c r="K23" i="29" s="1"/>
  <c r="B24" i="29" s="1"/>
  <c r="B8" i="34"/>
  <c r="B15" i="34" s="1"/>
  <c r="J24" i="15"/>
  <c r="J52" i="15" s="1"/>
  <c r="L37" i="16"/>
  <c r="L39" i="16" s="1"/>
  <c r="L16" i="15" l="1"/>
  <c r="L19" i="15" s="1"/>
  <c r="L24" i="15" s="1"/>
  <c r="L52" i="15" s="1"/>
  <c r="B25" i="30"/>
  <c r="K13" i="29"/>
  <c r="B14" i="29" s="1"/>
  <c r="B11" i="34"/>
  <c r="M37" i="16"/>
  <c r="M39" i="16" s="1"/>
  <c r="C19" i="18"/>
</calcChain>
</file>

<file path=xl/sharedStrings.xml><?xml version="1.0" encoding="utf-8"?>
<sst xmlns="http://schemas.openxmlformats.org/spreadsheetml/2006/main" count="1303" uniqueCount="679">
  <si>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</si>
  <si>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</si>
  <si>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</si>
  <si>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</si>
  <si>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</si>
  <si>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</si>
  <si>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</si>
  <si>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</si>
  <si>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</si>
  <si>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</si>
  <si>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</si>
  <si>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</si>
  <si>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</si>
  <si>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</si>
  <si>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</si>
  <si>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</si>
  <si>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</si>
  <si>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</si>
  <si>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</si>
  <si>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</si>
  <si>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</si>
  <si>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</si>
  <si>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</si>
  <si>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</si>
  <si>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</si>
  <si>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</si>
  <si>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</si>
  <si>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</si>
  <si>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</si>
  <si>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</si>
  <si>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</si>
  <si>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</si>
  <si>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</si>
  <si>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</si>
  <si>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</si>
  <si>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</si>
  <si>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</si>
  <si>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</si>
  <si>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</si>
  <si>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</si>
  <si>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</si>
  <si>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</si>
  <si>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</si>
  <si>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</si>
  <si>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</si>
  <si>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</si>
  <si>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</si>
  <si>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</si>
  <si>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</si>
  <si>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</si>
  <si>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</si>
  <si>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</si>
  <si>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</si>
  <si>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</si>
  <si>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</si>
  <si>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</si>
  <si>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</si>
  <si>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</si>
  <si>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</si>
  <si>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</si>
  <si>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</si>
  <si>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</si>
  <si>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</si>
  <si>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</si>
  <si>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2 TPH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</si>
  <si>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</si>
  <si>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</si>
  <si>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</si>
  <si>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</si>
  <si>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</si>
  <si>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</si>
  <si>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</si>
  <si>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</si>
  <si>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</si>
  <si>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</si>
  <si>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</si>
  <si>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</si>
  <si>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</si>
  <si>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Finished Goods (MT)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</si>
  <si>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</si>
  <si>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</si>
  <si>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</si>
  <si>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</si>
  <si>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</si>
  <si>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</si>
  <si>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</si>
  <si>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</si>
  <si>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</si>
  <si>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</si>
  <si>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</si>
  <si>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</si>
  <si>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</si>
  <si>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</si>
  <si>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</si>
  <si>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</si>
  <si>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</si>
  <si>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</si>
  <si>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</si>
  <si>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</si>
  <si>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</si>
  <si>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</si>
  <si>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</si>
  <si>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</si>
  <si>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</si>
  <si>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</si>
  <si>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</si>
  <si>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</si>
  <si>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</si>
  <si>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</si>
  <si>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</si>
  <si>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</si>
  <si>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</si>
  <si>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</si>
  <si>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</si>
  <si>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</si>
  <si>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</si>
  <si>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</si>
  <si>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</si>
  <si>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</si>
  <si>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</si>
  <si>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</si>
  <si>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</si>
  <si>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</si>
  <si>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</si>
  <si>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</si>
  <si>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</si>
  <si>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</si>
  <si>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</si>
  <si>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</si>
  <si>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</si>
  <si>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</si>
  <si>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</si>
  <si>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</si>
  <si>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</si>
  <si>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</si>
  <si>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</si>
  <si>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</si>
  <si>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</si>
  <si>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</si>
  <si>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</si>
  <si>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</si>
  <si>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</si>
  <si>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</si>
  <si>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</si>
  <si>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</si>
  <si>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</si>
  <si>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</si>
  <si>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</si>
  <si>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</si>
  <si>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</si>
  <si>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</si>
  <si>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</si>
  <si>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</si>
  <si>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</si>
  <si>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</si>
  <si>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</si>
  <si>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</si>
  <si>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</si>
  <si>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</si>
  <si>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</si>
  <si>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</si>
  <si>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</si>
  <si>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</si>
  <si>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</si>
  <si>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Captive Operations Grade Output (MT)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</si>
  <si>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</si>
  <si>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</si>
  <si>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</si>
  <si>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</si>
  <si>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</si>
  <si>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</si>
  <si>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</si>
  <si>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</si>
  <si>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</si>
  <si>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</si>
  <si>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</si>
  <si>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</si>
  <si>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</si>
  <si>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</si>
  <si>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</si>
  <si>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</si>
  <si>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</si>
  <si>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</si>
  <si>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</si>
  <si>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</si>
  <si>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</si>
  <si>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</si>
  <si>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</si>
  <si>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</si>
  <si>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</si>
  <si>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</si>
  <si>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</si>
  <si>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</si>
  <si>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</si>
  <si>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</si>
  <si>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</si>
  <si>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</si>
  <si>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</si>
  <si>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</si>
  <si>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</si>
  <si>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</si>
  <si>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</si>
  <si>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</si>
  <si>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</si>
  <si>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</si>
  <si>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</si>
  <si>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</si>
  <si>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</si>
  <si>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</si>
  <si>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</si>
  <si>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</si>
  <si>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</si>
  <si>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</si>
  <si>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</si>
  <si>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</si>
  <si>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</si>
  <si>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</si>
  <si>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</si>
  <si>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</si>
  <si>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</si>
  <si>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</si>
  <si>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</si>
  <si>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</si>
  <si>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</si>
  <si>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</si>
  <si>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</si>
  <si>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</si>
  <si>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</si>
  <si>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</si>
  <si>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</si>
  <si>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</si>
  <si>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</si>
  <si>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</si>
  <si>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</si>
  <si>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</si>
  <si>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</si>
  <si>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</si>
  <si>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</si>
  <si>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</si>
  <si>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</si>
  <si>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</si>
  <si>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</si>
  <si>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</si>
  <si>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</si>
  <si>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</si>
  <si>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</si>
  <si>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</si>
  <si>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</si>
  <si>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</si>
  <si>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</si>
  <si>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</si>
  <si>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</si>
  <si>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</si>
  <si>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</si>
  <si>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</si>
  <si>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</si>
  <si>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</si>
  <si>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</si>
  <si>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</si>
  <si>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</si>
  <si>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</si>
  <si>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</si>
  <si>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</si>
  <si>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</si>
  <si>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</si>
  <si>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</si>
  <si>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</si>
  <si>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</si>
  <si>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</si>
  <si>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</si>
  <si>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</si>
  <si>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</si>
  <si>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</si>
  <si>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</si>
  <si>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</si>
  <si>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</si>
  <si>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</si>
  <si>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</si>
  <si>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</si>
  <si>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</si>
  <si>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</si>
  <si>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</si>
  <si>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</si>
  <si>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</si>
  <si>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</si>
  <si>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</si>
  <si>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</si>
  <si>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</si>
  <si>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</si>
  <si>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</si>
  <si>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</si>
  <si>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</si>
  <si>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</si>
  <si>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</si>
  <si>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</si>
  <si>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</si>
  <si>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</si>
  <si>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</si>
  <si>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</si>
  <si>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</si>
  <si>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</si>
  <si>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</si>
  <si>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</si>
  <si>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</si>
  <si>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</si>
  <si>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</si>
  <si>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</si>
  <si>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</si>
  <si>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</si>
  <si>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</si>
  <si>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</si>
  <si>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</si>
  <si>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</si>
  <si>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</si>
  <si>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</si>
  <si>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</si>
  <si>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</si>
  <si>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</si>
  <si>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</si>
  <si>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</si>
  <si>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</si>
  <si>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</si>
  <si>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</si>
  <si>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</si>
  <si>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</si>
  <si>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</si>
  <si>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</si>
  <si>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</si>
  <si>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</si>
  <si>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</si>
  <si>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</si>
  <si>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</si>
  <si>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</si>
  <si>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</si>
  <si>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</si>
  <si>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</si>
  <si>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</si>
  <si>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</si>
  <si>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</si>
  <si>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</si>
  <si>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</si>
  <si>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</si>
  <si>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</si>
  <si>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</si>
  <si>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</si>
  <si>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</si>
  <si>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</si>
  <si>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</si>
  <si>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</si>
  <si>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</si>
  <si>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</si>
  <si>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</si>
  <si>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</si>
  <si>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</si>
  <si>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</si>
  <si>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</si>
  <si>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</si>
  <si>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</si>
  <si>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</si>
  <si>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</si>
  <si>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</si>
  <si>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</si>
  <si>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</si>
  <si>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</si>
  <si>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</si>
  <si>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</si>
  <si>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</si>
  <si>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</si>
  <si>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</si>
  <si>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</si>
  <si>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</si>
  <si>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</si>
  <si>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</si>
  <si>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</si>
  <si>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</si>
  <si>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</si>
  <si>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</si>
  <si>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</si>
  <si>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</si>
  <si>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Grade Output 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</si>
  <si>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</si>
  <si>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</si>
  <si>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</si>
  <si>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</si>
  <si>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</si>
  <si>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</si>
  <si>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</si>
  <si>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</si>
  <si>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</si>
  <si>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</si>
  <si>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</si>
  <si>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</si>
  <si>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</si>
  <si>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</si>
  <si>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</si>
  <si>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</si>
  <si>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</si>
  <si>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</si>
  <si>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</si>
  <si>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Pomegranate - Small Pack house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</si>
  <si>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</si>
  <si>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</si>
  <si>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</si>
  <si>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</si>
  <si>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</si>
  <si>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</si>
  <si>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</si>
  <si>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</si>
  <si>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</si>
  <si>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</si>
  <si>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</si>
  <si>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</si>
  <si>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</si>
  <si>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</si>
  <si>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</si>
  <si>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</si>
  <si>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</si>
  <si>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</si>
  <si>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</si>
  <si>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</si>
  <si>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</si>
  <si>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</si>
  <si>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</si>
  <si>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</si>
  <si>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</si>
  <si>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</si>
  <si>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</si>
  <si>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</si>
  <si>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</si>
  <si>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</si>
  <si>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</si>
  <si>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</si>
  <si>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</si>
  <si>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</si>
  <si>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</si>
  <si>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</si>
  <si>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</si>
  <si>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</si>
  <si>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</si>
  <si>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</si>
  <si>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</si>
  <si>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</si>
  <si>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</si>
  <si>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</si>
  <si>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</si>
  <si>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</si>
  <si>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</si>
  <si>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</si>
  <si>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</si>
  <si>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</si>
  <si>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</si>
  <si>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</si>
  <si>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</si>
  <si>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</si>
  <si>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</si>
  <si>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</si>
  <si>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</si>
  <si>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</si>
  <si>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</si>
  <si>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</si>
  <si>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</si>
  <si>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</si>
  <si>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</si>
  <si>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</si>
  <si>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</si>
  <si>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</si>
  <si>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</si>
  <si>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</si>
  <si>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</si>
  <si>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</si>
  <si>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</si>
  <si>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</si>
  <si>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</si>
  <si>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</si>
  <si>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</si>
  <si>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</si>
  <si>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</si>
  <si>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</si>
  <si>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</si>
  <si>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</si>
  <si>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</si>
  <si>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</si>
  <si>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</si>
  <si>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</si>
  <si>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</si>
  <si>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</si>
  <si>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</si>
  <si>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</si>
  <si>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</si>
  <si>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</si>
  <si>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</si>
  <si>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</si>
  <si>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</si>
  <si>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</si>
  <si>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</si>
  <si>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</si>
  <si>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</si>
  <si>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</si>
  <si>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</si>
  <si>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</si>
  <si>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</si>
  <si>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</si>
  <si>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</si>
  <si>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</si>
  <si>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</si>
  <si>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</si>
  <si>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</si>
  <si>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</si>
  <si>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</si>
  <si>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</si>
  <si>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</si>
  <si>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</si>
  <si>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</si>
  <si>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</si>
  <si>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</si>
  <si>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</si>
  <si>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</si>
  <si>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</si>
  <si>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</si>
  <si>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</si>
  <si>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</si>
  <si>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</si>
  <si>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</si>
  <si>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</si>
  <si>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</si>
  <si>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</si>
  <si>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</si>
  <si>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</si>
  <si>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</si>
  <si>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</si>
  <si>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</si>
  <si>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</si>
  <si>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</si>
  <si>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</si>
  <si>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</si>
  <si>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</si>
  <si>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</si>
  <si>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</si>
  <si>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</si>
  <si>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</si>
  <si>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</si>
  <si>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</si>
  <si>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</si>
  <si>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</si>
  <si>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</si>
  <si>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</si>
  <si>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</si>
  <si>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</si>
  <si>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</si>
  <si>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</si>
  <si>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</si>
  <si>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</si>
  <si>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</si>
  <si>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</si>
  <si>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</si>
  <si>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</si>
  <si>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</si>
  <si>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</si>
  <si>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</si>
  <si>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</si>
  <si>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</si>
  <si>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</si>
  <si>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</si>
  <si>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</si>
  <si>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</si>
  <si>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</si>
  <si>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Polished Rice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</si>
  <si>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</si>
  <si>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</si>
  <si>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</si>
  <si>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</si>
  <si>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</si>
  <si>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</si>
  <si>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</si>
  <si>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</si>
  <si>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</si>
  <si>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</si>
  <si>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</si>
  <si>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</si>
  <si>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</si>
  <si>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</si>
  <si>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</si>
  <si>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</si>
  <si>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</si>
  <si>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</si>
  <si>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</si>
  <si>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</si>
  <si>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</si>
  <si>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</si>
  <si>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</si>
  <si>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</si>
  <si>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</si>
  <si>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</si>
  <si>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</si>
  <si>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</si>
  <si>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</si>
  <si>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</si>
  <si>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</si>
  <si>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</si>
  <si>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 xml:space="preserve">Rice </t>
  </si>
  <si>
    <t>with grant</t>
  </si>
  <si>
    <t>without grant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</si>
  <si>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</si>
  <si>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</si>
  <si>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</si>
  <si>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</si>
  <si>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</si>
  <si>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</si>
  <si>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</si>
  <si>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Production- Paddy (MT)</t>
  </si>
  <si>
    <t>Total Production (Paddy)</t>
  </si>
  <si>
    <t>Income Tax 30%</t>
  </si>
  <si>
    <t>Requirement of Project (MT)</t>
  </si>
  <si>
    <t>Civil area for godown (697.026 sqm- 2000 MT)</t>
  </si>
  <si>
    <t>Rice Milling machine with silky polisher</t>
  </si>
  <si>
    <t>Rotary Sew TQLM 100*2 with Blower</t>
  </si>
  <si>
    <t>Distoner TQS-100 with Blower</t>
  </si>
  <si>
    <t>Rubber Seller MLGT-36 with Blower</t>
  </si>
  <si>
    <t>Crompton Motor</t>
  </si>
  <si>
    <t>Separator MGC-2 60*20*1(20 Tray)</t>
  </si>
  <si>
    <t>Brav Filter 100” inch</t>
  </si>
  <si>
    <t>Sortex mayer 6 tray with compressor 30 HP Complete</t>
  </si>
  <si>
    <t>Silky Matching kb 40 with 60 Hp 960 RPU motor panel, water filter complete</t>
  </si>
  <si>
    <t xml:space="preserve">Panel Board and cable fitting </t>
  </si>
  <si>
    <t>Chawal chalmi mm 3*125*5</t>
  </si>
  <si>
    <t>TS-25 Polisher</t>
  </si>
  <si>
    <t>H</t>
  </si>
  <si>
    <t>I</t>
  </si>
  <si>
    <t>J</t>
  </si>
  <si>
    <t>K</t>
  </si>
  <si>
    <t>WEIGH BRIDGE</t>
  </si>
  <si>
    <t>Sansui Weigh Bridge- (80 Ton capacity)</t>
  </si>
  <si>
    <t>Packaging , Printing &amp; Weighing Machine</t>
  </si>
  <si>
    <t>Packaging Machine</t>
  </si>
  <si>
    <t>Printing Machine</t>
  </si>
  <si>
    <t>Weighing Machine</t>
  </si>
  <si>
    <t>ELECTRIC FITTING</t>
  </si>
  <si>
    <t>DTC- 100 KVA</t>
  </si>
  <si>
    <t>11 KV Line</t>
  </si>
  <si>
    <t>Paddy</t>
  </si>
  <si>
    <t>4 TPH</t>
  </si>
  <si>
    <t>Total Input (Paddy) (MT)</t>
  </si>
  <si>
    <t>Paddy processed per day (MT)</t>
  </si>
  <si>
    <t>Husk</t>
  </si>
  <si>
    <t>Bran</t>
  </si>
  <si>
    <t>400/ton</t>
  </si>
  <si>
    <t xml:space="preserve">10000 p.m. 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</si>
  <si>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</si>
  <si>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</si>
  <si>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</si>
  <si>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</si>
  <si>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</si>
  <si>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</si>
  <si>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</si>
  <si>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</si>
  <si>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Rice processing (in Rs. Per MT)</t>
  </si>
  <si>
    <t>500/day</t>
  </si>
  <si>
    <t>Loss c/f</t>
  </si>
  <si>
    <t>loss b/f</t>
  </si>
  <si>
    <t>Net taxable profit</t>
  </si>
  <si>
    <t>Rice Mill</t>
  </si>
  <si>
    <t>100 KVA (Power chart)</t>
  </si>
  <si>
    <t>95 KVA (Power chart)</t>
  </si>
  <si>
    <t>5000 p.m.</t>
  </si>
  <si>
    <t>1% of machine cost &amp; civil works</t>
  </si>
  <si>
    <t>Marketable Surplus - Paddy (70%)</t>
  </si>
  <si>
    <t>Nil</t>
  </si>
  <si>
    <t>Smart Subsidy %</t>
  </si>
  <si>
    <t>Subsidy Amount</t>
  </si>
  <si>
    <t>Revenue- Service Charges - Rice Milling</t>
  </si>
  <si>
    <t>90% reserved for JW Services</t>
  </si>
  <si>
    <t>10% reserved for Captive operations</t>
  </si>
  <si>
    <t>90% capacity reserved</t>
  </si>
  <si>
    <t>10% capacity reserved</t>
  </si>
  <si>
    <t>Present Value Equivalent @ 48.64%</t>
  </si>
  <si>
    <t xml:space="preserve"> </t>
  </si>
  <si>
    <t>4 Years 3 months</t>
  </si>
  <si>
    <t>7 Yrs 4 month</t>
  </si>
  <si>
    <t>Present Value Equivalent @ 14.82%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</si>
</sst>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164" fontId="9" fillId="0" borderId="1" xfId="1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4" fontId="13" fillId="0" borderId="0" xfId="1" applyFont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3" fillId="0" borderId="0" xfId="0" applyNumberFormat="1" applyFont="1" applyAlignment="1">
      <alignment wrapText="1"/>
    </xf>
    <xf numFmtId="164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/>
    <xf numFmtId="164" fontId="9" fillId="0" borderId="1" xfId="1" applyFont="1" applyFill="1" applyBorder="1"/>
    <xf numFmtId="0" fontId="18" fillId="0" borderId="1" xfId="0" applyFont="1" applyFill="1" applyBorder="1"/>
    <xf numFmtId="164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43" fontId="4" fillId="0" borderId="0" xfId="0" applyNumberFormat="1" applyFont="1" applyFill="1"/>
    <xf numFmtId="2" fontId="4" fillId="0" borderId="0" xfId="0" applyNumberFormat="1" applyFont="1" applyFill="1"/>
    <xf numFmtId="43" fontId="4" fillId="0" borderId="1" xfId="0" applyNumberFormat="1" applyFont="1" applyFill="1" applyBorder="1"/>
    <xf numFmtId="164" fontId="9" fillId="0" borderId="0" xfId="1" applyFont="1" applyFill="1" applyBorder="1"/>
    <xf numFmtId="164" fontId="4" fillId="0" borderId="0" xfId="0" applyNumberFormat="1" applyFont="1" applyFill="1"/>
    <xf numFmtId="164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164" fontId="20" fillId="0" borderId="1" xfId="1" applyFont="1" applyFill="1" applyBorder="1" applyAlignment="1">
      <alignment horizontal="right" wrapText="1"/>
    </xf>
    <xf numFmtId="164" fontId="20" fillId="0" borderId="1" xfId="1" applyFont="1" applyFill="1" applyBorder="1" applyAlignment="1">
      <alignment wrapText="1"/>
    </xf>
    <xf numFmtId="164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164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164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164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9" fontId="2" fillId="0" borderId="1" xfId="0" applyNumberFormat="1" applyFont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2" fillId="0" borderId="3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center"/>
    </xf>
    <xf numFmtId="0" fontId="27" fillId="0" borderId="1" xfId="0" applyFont="1" applyBorder="1"/>
    <xf numFmtId="164" fontId="27" fillId="0" borderId="1" xfId="0" applyNumberFormat="1" applyFont="1" applyBorder="1"/>
    <xf numFmtId="9" fontId="13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/>
    <xf numFmtId="164" fontId="2" fillId="0" borderId="1" xfId="1" applyFont="1" applyFill="1" applyBorder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0" fontId="28" fillId="0" borderId="1" xfId="0" applyFont="1" applyBorder="1"/>
    <xf numFmtId="2" fontId="28" fillId="0" borderId="1" xfId="0" applyNumberFormat="1" applyFont="1" applyBorder="1"/>
    <xf numFmtId="0" fontId="2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7"/>
  <sheetViews>
    <sheetView tabSelected="1" view="pageBreakPreview" zoomScale="60" zoomScaleNormal="100" workbookViewId="0">
      <selection activeCell="G8" sqref="G8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16384" width="9.140625" style="1"/>
  </cols>
  <sheetData>
    <row r="6" spans="1:12" ht="45" x14ac:dyDescent="0.25">
      <c r="A6" s="142" t="s">
        <v>400</v>
      </c>
      <c r="B6" s="142" t="s">
        <v>401</v>
      </c>
      <c r="C6" s="143" t="s">
        <v>402</v>
      </c>
    </row>
    <row r="7" spans="1:12" x14ac:dyDescent="0.25">
      <c r="A7" s="142">
        <v>1</v>
      </c>
      <c r="B7" s="144" t="s">
        <v>403</v>
      </c>
      <c r="C7" s="264">
        <v>115.04</v>
      </c>
    </row>
    <row r="8" spans="1:12" x14ac:dyDescent="0.25">
      <c r="A8" s="145"/>
      <c r="B8" s="146" t="s">
        <v>613</v>
      </c>
      <c r="C8" s="298"/>
    </row>
    <row r="9" spans="1:12" x14ac:dyDescent="0.25">
      <c r="A9" s="145" t="s">
        <v>79</v>
      </c>
      <c r="B9" s="147" t="s">
        <v>404</v>
      </c>
      <c r="C9" s="298"/>
    </row>
    <row r="10" spans="1:12" x14ac:dyDescent="0.25">
      <c r="A10" s="145" t="s">
        <v>84</v>
      </c>
      <c r="B10" s="147" t="s">
        <v>405</v>
      </c>
      <c r="C10" s="298"/>
    </row>
    <row r="11" spans="1:12" x14ac:dyDescent="0.25">
      <c r="A11" s="145" t="s">
        <v>85</v>
      </c>
      <c r="B11" s="147" t="s">
        <v>591</v>
      </c>
      <c r="C11" s="298"/>
    </row>
    <row r="12" spans="1:12" x14ac:dyDescent="0.25">
      <c r="A12" s="274">
        <v>2</v>
      </c>
      <c r="B12" s="275" t="s">
        <v>614</v>
      </c>
      <c r="C12" s="264">
        <f>84.5+4.23+1+2</f>
        <v>91.73</v>
      </c>
      <c r="L12" s="38"/>
    </row>
    <row r="13" spans="1:12" x14ac:dyDescent="0.25">
      <c r="A13" s="253" t="s">
        <v>79</v>
      </c>
      <c r="B13" s="277" t="s">
        <v>615</v>
      </c>
      <c r="C13" s="299"/>
      <c r="L13" s="38"/>
    </row>
    <row r="14" spans="1:12" x14ac:dyDescent="0.25">
      <c r="A14" s="253" t="s">
        <v>84</v>
      </c>
      <c r="B14" s="277" t="s">
        <v>616</v>
      </c>
      <c r="C14" s="300"/>
      <c r="L14" s="38"/>
    </row>
    <row r="15" spans="1:12" x14ac:dyDescent="0.25">
      <c r="A15" s="253" t="s">
        <v>85</v>
      </c>
      <c r="B15" s="277" t="s">
        <v>617</v>
      </c>
      <c r="C15" s="300"/>
    </row>
    <row r="16" spans="1:12" x14ac:dyDescent="0.25">
      <c r="A16" s="253" t="s">
        <v>406</v>
      </c>
      <c r="B16" s="277" t="s">
        <v>618</v>
      </c>
      <c r="C16" s="300"/>
    </row>
    <row r="17" spans="1:3" x14ac:dyDescent="0.25">
      <c r="A17" s="253" t="s">
        <v>407</v>
      </c>
      <c r="B17" s="277" t="s">
        <v>619</v>
      </c>
      <c r="C17" s="300"/>
    </row>
    <row r="18" spans="1:3" x14ac:dyDescent="0.25">
      <c r="A18" s="253" t="s">
        <v>408</v>
      </c>
      <c r="B18" s="277" t="s">
        <v>620</v>
      </c>
      <c r="C18" s="300"/>
    </row>
    <row r="19" spans="1:3" x14ac:dyDescent="0.25">
      <c r="A19" s="253" t="s">
        <v>590</v>
      </c>
      <c r="B19" s="277" t="s">
        <v>621</v>
      </c>
      <c r="C19" s="300"/>
    </row>
    <row r="20" spans="1:3" ht="33" customHeight="1" x14ac:dyDescent="0.25">
      <c r="A20" s="253" t="s">
        <v>626</v>
      </c>
      <c r="B20" s="277" t="s">
        <v>622</v>
      </c>
      <c r="C20" s="300"/>
    </row>
    <row r="21" spans="1:3" x14ac:dyDescent="0.25">
      <c r="A21" s="253" t="s">
        <v>627</v>
      </c>
      <c r="B21" s="277" t="s">
        <v>623</v>
      </c>
      <c r="C21" s="300"/>
    </row>
    <row r="22" spans="1:3" x14ac:dyDescent="0.25">
      <c r="A22" s="253" t="s">
        <v>628</v>
      </c>
      <c r="B22" s="277" t="s">
        <v>624</v>
      </c>
      <c r="C22" s="300"/>
    </row>
    <row r="23" spans="1:3" x14ac:dyDescent="0.25">
      <c r="A23" s="253" t="s">
        <v>629</v>
      </c>
      <c r="B23" s="277" t="s">
        <v>625</v>
      </c>
      <c r="C23" s="300"/>
    </row>
    <row r="24" spans="1:3" x14ac:dyDescent="0.25">
      <c r="A24" s="142">
        <v>3</v>
      </c>
      <c r="B24" s="279" t="s">
        <v>630</v>
      </c>
      <c r="C24" s="280">
        <v>10</v>
      </c>
    </row>
    <row r="25" spans="1:3" x14ac:dyDescent="0.25">
      <c r="A25" s="276" t="s">
        <v>79</v>
      </c>
      <c r="B25" s="273" t="s">
        <v>631</v>
      </c>
      <c r="C25" s="278"/>
    </row>
    <row r="26" spans="1:3" x14ac:dyDescent="0.25">
      <c r="A26" s="142">
        <v>4</v>
      </c>
      <c r="B26" s="281" t="s">
        <v>632</v>
      </c>
      <c r="C26" s="280">
        <v>0</v>
      </c>
    </row>
    <row r="27" spans="1:3" x14ac:dyDescent="0.25">
      <c r="A27" s="253" t="s">
        <v>79</v>
      </c>
      <c r="B27" s="277" t="s">
        <v>633</v>
      </c>
      <c r="C27" s="300"/>
    </row>
    <row r="28" spans="1:3" x14ac:dyDescent="0.25">
      <c r="A28" s="253" t="s">
        <v>84</v>
      </c>
      <c r="B28" s="273" t="s">
        <v>634</v>
      </c>
      <c r="C28" s="300"/>
    </row>
    <row r="29" spans="1:3" x14ac:dyDescent="0.25">
      <c r="A29" s="253" t="s">
        <v>85</v>
      </c>
      <c r="B29" s="6" t="s">
        <v>635</v>
      </c>
      <c r="C29" s="301"/>
    </row>
    <row r="30" spans="1:3" x14ac:dyDescent="0.25">
      <c r="A30" s="142">
        <v>3</v>
      </c>
      <c r="B30" s="144" t="s">
        <v>592</v>
      </c>
      <c r="C30" s="264">
        <v>0</v>
      </c>
    </row>
    <row r="31" spans="1:3" x14ac:dyDescent="0.25">
      <c r="A31" s="145" t="s">
        <v>79</v>
      </c>
      <c r="B31" s="147" t="s">
        <v>562</v>
      </c>
      <c r="C31" s="298"/>
    </row>
    <row r="32" spans="1:3" x14ac:dyDescent="0.25">
      <c r="A32" s="145" t="s">
        <v>84</v>
      </c>
      <c r="B32" s="147" t="s">
        <v>563</v>
      </c>
      <c r="C32" s="298"/>
    </row>
    <row r="33" spans="1:3" x14ac:dyDescent="0.25">
      <c r="A33" s="142">
        <v>4</v>
      </c>
      <c r="B33" s="144" t="s">
        <v>636</v>
      </c>
      <c r="C33" s="264">
        <v>3.65</v>
      </c>
    </row>
    <row r="34" spans="1:3" x14ac:dyDescent="0.25">
      <c r="A34" s="43" t="s">
        <v>79</v>
      </c>
      <c r="B34" s="147" t="s">
        <v>637</v>
      </c>
      <c r="C34" s="299"/>
    </row>
    <row r="35" spans="1:3" x14ac:dyDescent="0.25">
      <c r="A35" s="43" t="s">
        <v>84</v>
      </c>
      <c r="B35" s="147" t="s">
        <v>638</v>
      </c>
      <c r="C35" s="300"/>
    </row>
    <row r="36" spans="1:3" x14ac:dyDescent="0.25">
      <c r="A36" s="142">
        <v>5</v>
      </c>
      <c r="B36" s="144" t="s">
        <v>565</v>
      </c>
      <c r="C36" s="264">
        <f>+SUM(C7:C33)*5%</f>
        <v>11.021000000000001</v>
      </c>
    </row>
    <row r="37" spans="1:3" x14ac:dyDescent="0.25">
      <c r="A37" s="145"/>
      <c r="B37" s="148" t="s">
        <v>564</v>
      </c>
      <c r="C37" s="264">
        <f>SUM(C7:C36)</f>
        <v>231.44100000000003</v>
      </c>
    </row>
    <row r="38" spans="1:3" x14ac:dyDescent="0.25">
      <c r="A38" s="149"/>
      <c r="B38" s="150"/>
      <c r="C38" s="151"/>
    </row>
    <row r="39" spans="1:3" x14ac:dyDescent="0.25">
      <c r="A39" s="149"/>
      <c r="B39" s="152" t="s">
        <v>593</v>
      </c>
      <c r="C39" s="282">
        <f>+'Project Glance'!B13</f>
        <v>2.4030979166666664</v>
      </c>
    </row>
    <row r="40" spans="1:3" x14ac:dyDescent="0.25">
      <c r="A40" s="296"/>
      <c r="B40" s="297"/>
      <c r="C40" s="153"/>
    </row>
    <row r="41" spans="1:3" x14ac:dyDescent="0.25">
      <c r="A41" s="142"/>
      <c r="B41" s="154"/>
      <c r="C41" s="142"/>
    </row>
    <row r="42" spans="1:3" x14ac:dyDescent="0.25">
      <c r="A42" s="155"/>
      <c r="B42" s="156"/>
      <c r="C42" s="155"/>
    </row>
    <row r="43" spans="1:3" x14ac:dyDescent="0.25">
      <c r="A43" s="157"/>
      <c r="B43" s="158"/>
      <c r="C43" s="157"/>
    </row>
    <row r="44" spans="1:3" x14ac:dyDescent="0.25">
      <c r="A44" s="155"/>
      <c r="B44" s="159"/>
      <c r="C44" s="155"/>
    </row>
    <row r="45" spans="1:3" x14ac:dyDescent="0.25">
      <c r="A45" s="155"/>
      <c r="B45" s="160"/>
      <c r="C45" s="161"/>
    </row>
    <row r="46" spans="1:3" x14ac:dyDescent="0.25">
      <c r="A46" s="23"/>
      <c r="B46" s="23"/>
      <c r="C46" s="23"/>
    </row>
    <row r="47" spans="1:3" x14ac:dyDescent="0.25">
      <c r="A47" s="23"/>
      <c r="B47" s="141"/>
      <c r="C47" s="23"/>
    </row>
  </sheetData>
  <mergeCells count="6">
    <mergeCell ref="A40:B40"/>
    <mergeCell ref="C8:C11"/>
    <mergeCell ref="C31:C32"/>
    <mergeCell ref="C34:C35"/>
    <mergeCell ref="C13:C23"/>
    <mergeCell ref="C27:C29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70" zoomScaleNormal="100" zoomScaleSheetLayoutView="70" workbookViewId="0">
      <selection activeCell="L18" sqref="A1:L18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6" width="12.28515625" style="1" bestFit="1" customWidth="1"/>
    <col min="7" max="7" width="13.42578125" style="1" bestFit="1" customWidth="1"/>
    <col min="8" max="8" width="12.5703125" style="1" bestFit="1" customWidth="1"/>
    <col min="9" max="12" width="13.42578125" style="1" bestFit="1" customWidth="1"/>
    <col min="13" max="16384" width="9.140625" style="1"/>
  </cols>
  <sheetData>
    <row r="1" spans="1:12" x14ac:dyDescent="0.25">
      <c r="A1" s="46" t="s">
        <v>77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22" t="s">
        <v>42</v>
      </c>
      <c r="J1" s="222" t="s">
        <v>499</v>
      </c>
      <c r="K1" s="222" t="s">
        <v>500</v>
      </c>
      <c r="L1" s="222" t="s">
        <v>501</v>
      </c>
    </row>
    <row r="2" spans="1:12" x14ac:dyDescent="0.25">
      <c r="A2" s="7" t="s">
        <v>79</v>
      </c>
      <c r="B2" s="26" t="str">
        <f>'CS-FG'!B4</f>
        <v>Polished Rice</v>
      </c>
      <c r="C2" s="36">
        <f>'CS-FG'!C7</f>
        <v>192</v>
      </c>
      <c r="D2" s="36">
        <f>'CS-FG'!D7</f>
        <v>218</v>
      </c>
      <c r="E2" s="36">
        <f>'CS-FG'!E7</f>
        <v>240</v>
      </c>
      <c r="F2" s="36">
        <f>'CS-FG'!F7</f>
        <v>259</v>
      </c>
      <c r="G2" s="36">
        <f>'CS-FG'!G7</f>
        <v>279</v>
      </c>
      <c r="H2" s="36">
        <f>'CS-FG'!H7</f>
        <v>299</v>
      </c>
      <c r="I2" s="36">
        <f>'CS-FG'!I7</f>
        <v>319</v>
      </c>
      <c r="J2" s="36">
        <f>'CS-FG'!J7</f>
        <v>339</v>
      </c>
      <c r="K2" s="36">
        <f>'CS-FG'!K7</f>
        <v>359</v>
      </c>
      <c r="L2" s="36">
        <f>'CS-FG'!L7</f>
        <v>379</v>
      </c>
    </row>
    <row r="3" spans="1:12" x14ac:dyDescent="0.25">
      <c r="A3" s="6"/>
      <c r="B3" s="36" t="s">
        <v>75</v>
      </c>
      <c r="C3" s="42">
        <f>'CS-FG'!C29</f>
        <v>45000</v>
      </c>
      <c r="D3" s="42">
        <f>'CS-FG'!D29</f>
        <v>47250</v>
      </c>
      <c r="E3" s="42">
        <f>'CS-FG'!E29</f>
        <v>49610</v>
      </c>
      <c r="F3" s="42">
        <f>'CS-FG'!F29</f>
        <v>52090</v>
      </c>
      <c r="G3" s="42">
        <f>'CS-FG'!G29</f>
        <v>54690</v>
      </c>
      <c r="H3" s="42">
        <f>'CS-FG'!H29</f>
        <v>57420</v>
      </c>
      <c r="I3" s="42">
        <f>'CS-FG'!I29</f>
        <v>60290</v>
      </c>
      <c r="J3" s="42">
        <f>'CS-FG'!J29</f>
        <v>63300</v>
      </c>
      <c r="K3" s="42">
        <f>'CS-FG'!K29</f>
        <v>66470</v>
      </c>
      <c r="L3" s="42">
        <f>'CS-FG'!L29</f>
        <v>69790</v>
      </c>
    </row>
    <row r="4" spans="1:12" x14ac:dyDescent="0.25">
      <c r="A4" s="6"/>
      <c r="B4" s="26" t="s">
        <v>88</v>
      </c>
      <c r="C4" s="41">
        <f>C2*C3/100000</f>
        <v>86.4</v>
      </c>
      <c r="D4" s="41">
        <f t="shared" ref="D4:I4" si="0">D2*D3/100000</f>
        <v>103.005</v>
      </c>
      <c r="E4" s="41">
        <f t="shared" si="0"/>
        <v>119.06399999999999</v>
      </c>
      <c r="F4" s="41">
        <f t="shared" si="0"/>
        <v>134.91309999999999</v>
      </c>
      <c r="G4" s="41">
        <f t="shared" si="0"/>
        <v>152.58510000000001</v>
      </c>
      <c r="H4" s="41">
        <f t="shared" si="0"/>
        <v>171.6858</v>
      </c>
      <c r="I4" s="41">
        <f t="shared" si="0"/>
        <v>192.32509999999999</v>
      </c>
      <c r="J4" s="41">
        <f t="shared" ref="J4:L4" si="1">J2*J3/100000</f>
        <v>214.58699999999999</v>
      </c>
      <c r="K4" s="41">
        <f t="shared" si="1"/>
        <v>238.62729999999999</v>
      </c>
      <c r="L4" s="41">
        <f t="shared" si="1"/>
        <v>264.50409999999999</v>
      </c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84</v>
      </c>
      <c r="B6" s="26" t="str">
        <f>'CS-FG'!B10</f>
        <v>Husk</v>
      </c>
      <c r="C6" s="36">
        <f>'CS-FG'!C13</f>
        <v>77</v>
      </c>
      <c r="D6" s="36">
        <f>'CS-FG'!D13</f>
        <v>87</v>
      </c>
      <c r="E6" s="36">
        <f>'CS-FG'!E13</f>
        <v>96</v>
      </c>
      <c r="F6" s="36">
        <f>'CS-FG'!F13</f>
        <v>103</v>
      </c>
      <c r="G6" s="36">
        <f>'CS-FG'!G13</f>
        <v>112</v>
      </c>
      <c r="H6" s="36">
        <f>'CS-FG'!H13</f>
        <v>120</v>
      </c>
      <c r="I6" s="36">
        <f>'CS-FG'!I13</f>
        <v>127</v>
      </c>
      <c r="J6" s="36">
        <f>'CS-FG'!J13</f>
        <v>136</v>
      </c>
      <c r="K6" s="36">
        <f>'CS-FG'!K13</f>
        <v>144</v>
      </c>
      <c r="L6" s="36">
        <f>'CS-FG'!L13</f>
        <v>151</v>
      </c>
    </row>
    <row r="7" spans="1:12" x14ac:dyDescent="0.25">
      <c r="A7" s="6"/>
      <c r="B7" s="36" t="s">
        <v>75</v>
      </c>
      <c r="C7" s="42">
        <f>'CS-FG'!C30</f>
        <v>1000</v>
      </c>
      <c r="D7" s="42">
        <f>'CS-FG'!D30</f>
        <v>1050</v>
      </c>
      <c r="E7" s="42">
        <f>'CS-FG'!E30</f>
        <v>1100</v>
      </c>
      <c r="F7" s="42">
        <f>'CS-FG'!F30</f>
        <v>1160</v>
      </c>
      <c r="G7" s="42">
        <f>'CS-FG'!G30</f>
        <v>1220</v>
      </c>
      <c r="H7" s="42">
        <f>'CS-FG'!H30</f>
        <v>1280</v>
      </c>
      <c r="I7" s="42">
        <f>'CS-FG'!I30</f>
        <v>1340</v>
      </c>
      <c r="J7" s="42">
        <f>'CS-FG'!J30</f>
        <v>1410</v>
      </c>
      <c r="K7" s="42">
        <f>'CS-FG'!K30</f>
        <v>1480</v>
      </c>
      <c r="L7" s="42">
        <f>'CS-FG'!L30</f>
        <v>1550</v>
      </c>
    </row>
    <row r="8" spans="1:12" x14ac:dyDescent="0.25">
      <c r="A8" s="6"/>
      <c r="B8" s="26" t="s">
        <v>88</v>
      </c>
      <c r="C8" s="41">
        <f>C6*C7/100000</f>
        <v>0.77</v>
      </c>
      <c r="D8" s="41">
        <f t="shared" ref="D8:I8" si="2">D6*D7/100000</f>
        <v>0.91349999999999998</v>
      </c>
      <c r="E8" s="41">
        <f t="shared" si="2"/>
        <v>1.056</v>
      </c>
      <c r="F8" s="41">
        <f t="shared" si="2"/>
        <v>1.1948000000000001</v>
      </c>
      <c r="G8" s="41">
        <f t="shared" si="2"/>
        <v>1.3664000000000001</v>
      </c>
      <c r="H8" s="41">
        <f t="shared" si="2"/>
        <v>1.536</v>
      </c>
      <c r="I8" s="41">
        <f t="shared" si="2"/>
        <v>1.7018</v>
      </c>
      <c r="J8" s="41">
        <f t="shared" ref="J8:L8" si="3">J6*J7/100000</f>
        <v>1.9176</v>
      </c>
      <c r="K8" s="41">
        <f t="shared" si="3"/>
        <v>2.1312000000000002</v>
      </c>
      <c r="L8" s="41">
        <f t="shared" si="3"/>
        <v>2.3405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 t="s">
        <v>85</v>
      </c>
      <c r="B10" s="26" t="str">
        <f>'CS-FG'!B16</f>
        <v>Broken</v>
      </c>
      <c r="C10" s="36">
        <f>'CS-FG'!C19</f>
        <v>77</v>
      </c>
      <c r="D10" s="36">
        <f>'CS-FG'!D19</f>
        <v>87</v>
      </c>
      <c r="E10" s="36">
        <f>'CS-FG'!E19</f>
        <v>96</v>
      </c>
      <c r="F10" s="36">
        <f>'CS-FG'!F19</f>
        <v>103</v>
      </c>
      <c r="G10" s="36">
        <f>'CS-FG'!G19</f>
        <v>112</v>
      </c>
      <c r="H10" s="36">
        <f>'CS-FG'!H19</f>
        <v>120</v>
      </c>
      <c r="I10" s="36">
        <f>'CS-FG'!I19</f>
        <v>127</v>
      </c>
      <c r="J10" s="36">
        <f>'CS-FG'!J19</f>
        <v>136</v>
      </c>
      <c r="K10" s="36">
        <f>'CS-FG'!K19</f>
        <v>144</v>
      </c>
      <c r="L10" s="36">
        <f>'CS-FG'!L19</f>
        <v>151</v>
      </c>
    </row>
    <row r="11" spans="1:12" x14ac:dyDescent="0.25">
      <c r="A11" s="6"/>
      <c r="B11" s="36" t="s">
        <v>75</v>
      </c>
      <c r="C11" s="42">
        <f>'CS-FG'!C31</f>
        <v>22000</v>
      </c>
      <c r="D11" s="42">
        <f>'CS-FG'!D31</f>
        <v>23100</v>
      </c>
      <c r="E11" s="42">
        <f>'CS-FG'!E31</f>
        <v>24260</v>
      </c>
      <c r="F11" s="42">
        <f>'CS-FG'!F31</f>
        <v>25470</v>
      </c>
      <c r="G11" s="42">
        <f>'CS-FG'!G31</f>
        <v>26740</v>
      </c>
      <c r="H11" s="42">
        <f>'CS-FG'!H31</f>
        <v>28080</v>
      </c>
      <c r="I11" s="42">
        <f>'CS-FG'!I31</f>
        <v>29480</v>
      </c>
      <c r="J11" s="42">
        <f>'CS-FG'!J31</f>
        <v>30950</v>
      </c>
      <c r="K11" s="42">
        <f>'CS-FG'!K31</f>
        <v>32500</v>
      </c>
      <c r="L11" s="42">
        <f>'CS-FG'!L31</f>
        <v>34130</v>
      </c>
    </row>
    <row r="12" spans="1:12" x14ac:dyDescent="0.25">
      <c r="A12" s="6"/>
      <c r="B12" s="26" t="s">
        <v>88</v>
      </c>
      <c r="C12" s="41">
        <f>C10*C11/100000</f>
        <v>16.940000000000001</v>
      </c>
      <c r="D12" s="41">
        <f t="shared" ref="D12:I12" si="4">D10*D11/100000</f>
        <v>20.097000000000001</v>
      </c>
      <c r="E12" s="41">
        <f t="shared" si="4"/>
        <v>23.2896</v>
      </c>
      <c r="F12" s="41">
        <f t="shared" si="4"/>
        <v>26.234100000000002</v>
      </c>
      <c r="G12" s="41">
        <f t="shared" si="4"/>
        <v>29.948799999999999</v>
      </c>
      <c r="H12" s="41">
        <f t="shared" si="4"/>
        <v>33.695999999999998</v>
      </c>
      <c r="I12" s="41">
        <f t="shared" si="4"/>
        <v>37.439599999999999</v>
      </c>
      <c r="J12" s="41">
        <f t="shared" ref="J12:L12" si="5">J10*J11/100000</f>
        <v>42.091999999999999</v>
      </c>
      <c r="K12" s="41">
        <f t="shared" si="5"/>
        <v>46.8</v>
      </c>
      <c r="L12" s="41">
        <f t="shared" si="5"/>
        <v>51.536299999999997</v>
      </c>
    </row>
    <row r="13" spans="1:12" x14ac:dyDescent="0.25">
      <c r="A13" s="6"/>
      <c r="B13" s="26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x14ac:dyDescent="0.25">
      <c r="A14" s="263" t="s">
        <v>85</v>
      </c>
      <c r="B14" s="26" t="str">
        <f>'CS-FG'!B22</f>
        <v>Bran</v>
      </c>
      <c r="C14" s="36">
        <f>'CS-FG'!C25</f>
        <v>31</v>
      </c>
      <c r="D14" s="36">
        <f>'CS-FG'!D25</f>
        <v>35</v>
      </c>
      <c r="E14" s="36">
        <f>'CS-FG'!E25</f>
        <v>37</v>
      </c>
      <c r="F14" s="36">
        <f>'CS-FG'!F25</f>
        <v>42</v>
      </c>
      <c r="G14" s="36">
        <f>'CS-FG'!G25</f>
        <v>45</v>
      </c>
      <c r="H14" s="36">
        <f>'CS-FG'!H25</f>
        <v>48</v>
      </c>
      <c r="I14" s="36">
        <f>'CS-FG'!I25</f>
        <v>51</v>
      </c>
      <c r="J14" s="36">
        <f>'CS-FG'!J25</f>
        <v>54</v>
      </c>
      <c r="K14" s="36">
        <f>'CS-FG'!K25</f>
        <v>58</v>
      </c>
      <c r="L14" s="36">
        <f>'CS-FG'!L25</f>
        <v>60</v>
      </c>
    </row>
    <row r="15" spans="1:12" x14ac:dyDescent="0.25">
      <c r="A15" s="6"/>
      <c r="B15" s="36" t="s">
        <v>75</v>
      </c>
      <c r="C15" s="42">
        <f>'CS-FG'!C32</f>
        <v>18000</v>
      </c>
      <c r="D15" s="42">
        <f>'CS-FG'!D32</f>
        <v>18900</v>
      </c>
      <c r="E15" s="42">
        <f>'CS-FG'!E32</f>
        <v>19850</v>
      </c>
      <c r="F15" s="42">
        <f>'CS-FG'!F32</f>
        <v>20840</v>
      </c>
      <c r="G15" s="42">
        <f>'CS-FG'!G32</f>
        <v>21880</v>
      </c>
      <c r="H15" s="42">
        <f>'CS-FG'!H32</f>
        <v>22970</v>
      </c>
      <c r="I15" s="42">
        <f>'CS-FG'!I32</f>
        <v>24120</v>
      </c>
      <c r="J15" s="42">
        <f>'CS-FG'!J32</f>
        <v>25330</v>
      </c>
      <c r="K15" s="42">
        <f>'CS-FG'!K32</f>
        <v>26600</v>
      </c>
      <c r="L15" s="42">
        <f>'CS-FG'!L32</f>
        <v>27930</v>
      </c>
    </row>
    <row r="16" spans="1:12" x14ac:dyDescent="0.25">
      <c r="A16" s="6"/>
      <c r="B16" s="26" t="s">
        <v>88</v>
      </c>
      <c r="C16" s="41">
        <f>C14*C15/100000</f>
        <v>5.58</v>
      </c>
      <c r="D16" s="41">
        <f t="shared" ref="D16:L16" si="6">D14*D15/100000</f>
        <v>6.6150000000000002</v>
      </c>
      <c r="E16" s="41">
        <f t="shared" si="6"/>
        <v>7.3445</v>
      </c>
      <c r="F16" s="41">
        <f t="shared" si="6"/>
        <v>8.7528000000000006</v>
      </c>
      <c r="G16" s="41">
        <f t="shared" si="6"/>
        <v>9.8460000000000001</v>
      </c>
      <c r="H16" s="41">
        <f t="shared" si="6"/>
        <v>11.025600000000001</v>
      </c>
      <c r="I16" s="41">
        <f t="shared" si="6"/>
        <v>12.3012</v>
      </c>
      <c r="J16" s="41">
        <f t="shared" si="6"/>
        <v>13.6782</v>
      </c>
      <c r="K16" s="41">
        <f t="shared" si="6"/>
        <v>15.428000000000001</v>
      </c>
      <c r="L16" s="41">
        <f t="shared" si="6"/>
        <v>16.757999999999999</v>
      </c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8" t="s">
        <v>89</v>
      </c>
      <c r="C18" s="11">
        <f>C12+C8+C4+C16</f>
        <v>109.69000000000001</v>
      </c>
      <c r="D18" s="11">
        <f t="shared" ref="D18:L18" si="7">D12+D8+D4+D16</f>
        <v>130.63050000000001</v>
      </c>
      <c r="E18" s="11">
        <f t="shared" si="7"/>
        <v>150.75409999999999</v>
      </c>
      <c r="F18" s="11">
        <f t="shared" si="7"/>
        <v>171.09479999999999</v>
      </c>
      <c r="G18" s="11">
        <f t="shared" si="7"/>
        <v>193.74630000000002</v>
      </c>
      <c r="H18" s="11">
        <f t="shared" si="7"/>
        <v>217.9434</v>
      </c>
      <c r="I18" s="11">
        <f t="shared" si="7"/>
        <v>243.76769999999999</v>
      </c>
      <c r="J18" s="11">
        <f t="shared" si="7"/>
        <v>272.27479999999997</v>
      </c>
      <c r="K18" s="11">
        <f t="shared" si="7"/>
        <v>302.98649999999998</v>
      </c>
      <c r="L18" s="11">
        <f t="shared" si="7"/>
        <v>335.13889999999998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7" t="s">
        <v>412</v>
      </c>
      <c r="B2" s="168" t="s">
        <v>413</v>
      </c>
      <c r="C2" s="169" t="s">
        <v>414</v>
      </c>
      <c r="D2" s="309" t="s">
        <v>415</v>
      </c>
      <c r="E2" s="309" t="s">
        <v>416</v>
      </c>
      <c r="F2" s="309" t="s">
        <v>417</v>
      </c>
      <c r="G2" s="311" t="s">
        <v>418</v>
      </c>
      <c r="H2" s="312"/>
      <c r="I2" s="312"/>
      <c r="J2" s="312"/>
      <c r="K2" s="312"/>
      <c r="L2" s="312"/>
      <c r="M2" s="313"/>
    </row>
    <row r="3" spans="1:13" x14ac:dyDescent="0.25">
      <c r="A3" s="170" t="s">
        <v>419</v>
      </c>
      <c r="B3" s="170"/>
      <c r="C3" s="171" t="s">
        <v>420</v>
      </c>
      <c r="D3" s="310"/>
      <c r="E3" s="310"/>
      <c r="F3" s="310"/>
      <c r="G3" s="172" t="s">
        <v>36</v>
      </c>
      <c r="H3" s="172" t="s">
        <v>37</v>
      </c>
      <c r="I3" s="172" t="s">
        <v>38</v>
      </c>
      <c r="J3" s="172" t="s">
        <v>39</v>
      </c>
      <c r="K3" s="172" t="s">
        <v>40</v>
      </c>
      <c r="L3" s="172" t="s">
        <v>41</v>
      </c>
      <c r="M3" s="172" t="s">
        <v>42</v>
      </c>
    </row>
    <row r="4" spans="1:13" x14ac:dyDescent="0.25">
      <c r="A4" s="162" t="s">
        <v>421</v>
      </c>
      <c r="B4" s="10"/>
      <c r="C4" s="10"/>
      <c r="D4" s="10"/>
      <c r="E4" s="10"/>
      <c r="F4" s="10"/>
      <c r="G4" s="163">
        <v>0.4</v>
      </c>
      <c r="H4" s="164">
        <v>0.5</v>
      </c>
      <c r="I4" s="164">
        <f t="shared" ref="I4:K4" si="0">+H4+5%</f>
        <v>0.55000000000000004</v>
      </c>
      <c r="J4" s="164">
        <f t="shared" si="0"/>
        <v>0.60000000000000009</v>
      </c>
      <c r="K4" s="164">
        <f t="shared" si="0"/>
        <v>0.65000000000000013</v>
      </c>
      <c r="L4" s="164">
        <f>+K4</f>
        <v>0.65000000000000013</v>
      </c>
      <c r="M4" s="164">
        <f>+L4</f>
        <v>0.65000000000000013</v>
      </c>
    </row>
    <row r="5" spans="1:13" x14ac:dyDescent="0.25">
      <c r="A5" s="10" t="s">
        <v>467</v>
      </c>
      <c r="B5" s="10">
        <v>1</v>
      </c>
      <c r="C5" s="10">
        <v>700</v>
      </c>
      <c r="D5" s="10"/>
      <c r="E5" s="10">
        <v>1500</v>
      </c>
      <c r="F5" s="10" t="s">
        <v>422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468</v>
      </c>
      <c r="B6" s="10">
        <v>2</v>
      </c>
      <c r="C6" s="10">
        <v>350</v>
      </c>
      <c r="D6" s="10"/>
      <c r="E6" s="10">
        <v>1000</v>
      </c>
      <c r="F6" s="10" t="s">
        <v>422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423</v>
      </c>
      <c r="B7" s="10"/>
      <c r="C7" s="10"/>
      <c r="D7" s="10"/>
      <c r="E7" s="10"/>
      <c r="F7" s="10" t="s">
        <v>424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425</v>
      </c>
      <c r="B8" s="10"/>
      <c r="C8" s="10"/>
      <c r="D8" s="10"/>
      <c r="E8" s="10"/>
      <c r="F8" s="10" t="s">
        <v>426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427</v>
      </c>
      <c r="B9" s="10"/>
      <c r="C9" s="10"/>
      <c r="D9" s="10"/>
      <c r="E9" s="10"/>
      <c r="F9" s="10" t="s">
        <v>426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3" t="s">
        <v>324</v>
      </c>
      <c r="B10" s="83"/>
      <c r="C10" s="83"/>
      <c r="D10" s="83"/>
      <c r="E10" s="83"/>
      <c r="F10" s="83"/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</row>
    <row r="19" spans="4:4" x14ac:dyDescent="0.25">
      <c r="D19" s="166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411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B23" sqref="B23:K23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14" t="s">
        <v>90</v>
      </c>
      <c r="B1" s="314"/>
      <c r="C1" s="314"/>
      <c r="D1" s="314"/>
      <c r="E1" s="314"/>
      <c r="F1" s="314"/>
      <c r="G1" s="314"/>
    </row>
    <row r="2" spans="1:7" ht="26.25" x14ac:dyDescent="0.25">
      <c r="A2" s="47" t="s">
        <v>91</v>
      </c>
      <c r="B2" s="47" t="s">
        <v>1</v>
      </c>
      <c r="C2" s="48" t="s">
        <v>92</v>
      </c>
      <c r="D2" s="48"/>
      <c r="E2" s="48" t="s">
        <v>93</v>
      </c>
      <c r="F2" s="49" t="s">
        <v>94</v>
      </c>
      <c r="G2" s="49" t="s">
        <v>95</v>
      </c>
    </row>
    <row r="3" spans="1:7" x14ac:dyDescent="0.25">
      <c r="A3" s="50">
        <v>1</v>
      </c>
      <c r="B3" s="51" t="s">
        <v>96</v>
      </c>
      <c r="C3" s="50" t="s">
        <v>97</v>
      </c>
      <c r="D3" s="50" t="s">
        <v>561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98</v>
      </c>
      <c r="C4" s="50" t="s">
        <v>97</v>
      </c>
      <c r="D4" s="50" t="s">
        <v>408</v>
      </c>
      <c r="E4" s="50">
        <v>0</v>
      </c>
      <c r="F4" s="52">
        <v>18000</v>
      </c>
      <c r="G4" s="52">
        <f t="shared" si="0"/>
        <v>0</v>
      </c>
    </row>
    <row r="5" spans="1:7" x14ac:dyDescent="0.25">
      <c r="A5" s="50">
        <v>3</v>
      </c>
      <c r="B5" s="51" t="s">
        <v>99</v>
      </c>
      <c r="C5" s="50" t="s">
        <v>97</v>
      </c>
      <c r="D5" s="50" t="s">
        <v>408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100</v>
      </c>
      <c r="C6" s="50" t="s">
        <v>97</v>
      </c>
      <c r="D6" s="50" t="s">
        <v>561</v>
      </c>
      <c r="E6" s="50">
        <v>2</v>
      </c>
      <c r="F6" s="52">
        <v>10000</v>
      </c>
      <c r="G6" s="52">
        <f t="shared" si="0"/>
        <v>2.4</v>
      </c>
    </row>
    <row r="7" spans="1:7" x14ac:dyDescent="0.25">
      <c r="A7" s="50">
        <v>5</v>
      </c>
      <c r="B7" s="51" t="s">
        <v>101</v>
      </c>
      <c r="C7" s="50" t="s">
        <v>97</v>
      </c>
      <c r="D7" s="50" t="s">
        <v>561</v>
      </c>
      <c r="E7" s="50">
        <v>1</v>
      </c>
      <c r="F7" s="52">
        <v>8000</v>
      </c>
      <c r="G7" s="52">
        <f t="shared" si="0"/>
        <v>0.96</v>
      </c>
    </row>
    <row r="8" spans="1:7" x14ac:dyDescent="0.25">
      <c r="A8" s="50">
        <v>6</v>
      </c>
      <c r="B8" s="51" t="s">
        <v>102</v>
      </c>
      <c r="C8" s="50" t="s">
        <v>97</v>
      </c>
      <c r="D8" s="50" t="s">
        <v>408</v>
      </c>
      <c r="E8" s="50">
        <v>1</v>
      </c>
      <c r="F8" s="52">
        <v>8000</v>
      </c>
      <c r="G8" s="52">
        <f t="shared" si="0"/>
        <v>0.96</v>
      </c>
    </row>
    <row r="9" spans="1:7" x14ac:dyDescent="0.25">
      <c r="A9" s="50">
        <v>7</v>
      </c>
      <c r="B9" s="51" t="s">
        <v>103</v>
      </c>
      <c r="C9" s="50" t="s">
        <v>97</v>
      </c>
      <c r="D9" s="50" t="s">
        <v>561</v>
      </c>
      <c r="E9" s="50">
        <v>1</v>
      </c>
      <c r="F9" s="52">
        <v>6000</v>
      </c>
      <c r="G9" s="52">
        <f t="shared" si="0"/>
        <v>0.72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158</v>
      </c>
      <c r="C11" s="50" t="s">
        <v>104</v>
      </c>
      <c r="D11" s="50" t="s">
        <v>561</v>
      </c>
      <c r="E11" s="50">
        <v>1</v>
      </c>
      <c r="F11" s="52">
        <v>18000</v>
      </c>
      <c r="G11" s="52">
        <f t="shared" ref="G11:G17" si="1">E11*F11*12/100000</f>
        <v>2.16</v>
      </c>
    </row>
    <row r="12" spans="1:7" ht="26.25" x14ac:dyDescent="0.25">
      <c r="A12" s="50">
        <v>9</v>
      </c>
      <c r="B12" s="51" t="s">
        <v>105</v>
      </c>
      <c r="C12" s="50" t="s">
        <v>104</v>
      </c>
      <c r="D12" s="50" t="s">
        <v>561</v>
      </c>
      <c r="E12" s="50">
        <v>0</v>
      </c>
      <c r="F12" s="52">
        <v>15000</v>
      </c>
      <c r="G12" s="52">
        <f t="shared" si="1"/>
        <v>0</v>
      </c>
    </row>
    <row r="13" spans="1:7" x14ac:dyDescent="0.25">
      <c r="A13" s="50">
        <v>10</v>
      </c>
      <c r="B13" s="51" t="s">
        <v>106</v>
      </c>
      <c r="C13" s="50" t="s">
        <v>104</v>
      </c>
      <c r="D13" s="50" t="s">
        <v>561</v>
      </c>
      <c r="E13" s="50">
        <v>2</v>
      </c>
      <c r="F13" s="52">
        <v>12000</v>
      </c>
      <c r="G13" s="52">
        <f t="shared" si="1"/>
        <v>2.88</v>
      </c>
    </row>
    <row r="14" spans="1:7" x14ac:dyDescent="0.25">
      <c r="A14" s="50">
        <v>11</v>
      </c>
      <c r="B14" s="51" t="s">
        <v>647</v>
      </c>
      <c r="C14" s="50" t="s">
        <v>104</v>
      </c>
      <c r="D14" s="50" t="s">
        <v>561</v>
      </c>
      <c r="E14" s="50">
        <v>2</v>
      </c>
      <c r="F14" s="52">
        <v>9000</v>
      </c>
      <c r="G14" s="52">
        <f t="shared" si="1"/>
        <v>2.16</v>
      </c>
    </row>
    <row r="15" spans="1:7" x14ac:dyDescent="0.25">
      <c r="A15" s="50">
        <v>12</v>
      </c>
      <c r="B15" s="51" t="s">
        <v>449</v>
      </c>
      <c r="C15" s="50" t="s">
        <v>104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107</v>
      </c>
      <c r="C16" s="50" t="s">
        <v>104</v>
      </c>
      <c r="D16" s="50" t="s">
        <v>561</v>
      </c>
      <c r="E16" s="50">
        <v>1</v>
      </c>
      <c r="F16" s="52">
        <v>8000</v>
      </c>
      <c r="G16" s="52">
        <f t="shared" si="1"/>
        <v>0.96</v>
      </c>
    </row>
    <row r="17" spans="1:11" x14ac:dyDescent="0.25">
      <c r="A17" s="50">
        <v>14</v>
      </c>
      <c r="B17" s="54" t="s">
        <v>108</v>
      </c>
      <c r="C17" s="50" t="s">
        <v>104</v>
      </c>
      <c r="D17" s="50" t="s">
        <v>561</v>
      </c>
      <c r="E17" s="50">
        <v>1</v>
      </c>
      <c r="F17" s="52">
        <v>8000</v>
      </c>
      <c r="G17" s="52">
        <f t="shared" si="1"/>
        <v>0.96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12</v>
      </c>
      <c r="F18" s="57"/>
      <c r="G18" s="57">
        <f>SUM(G3:G17)</f>
        <v>14.16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109</v>
      </c>
      <c r="C20" s="50" t="s">
        <v>104</v>
      </c>
      <c r="D20" s="50"/>
      <c r="E20" s="58">
        <v>6</v>
      </c>
      <c r="F20" s="59" t="s">
        <v>110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499</v>
      </c>
      <c r="J22" s="18" t="s">
        <v>500</v>
      </c>
      <c r="K22" s="18" t="s">
        <v>501</v>
      </c>
    </row>
    <row r="23" spans="1:11" x14ac:dyDescent="0.25">
      <c r="A23" s="55" t="s">
        <v>109</v>
      </c>
      <c r="B23" s="18">
        <f>+E20</f>
        <v>6</v>
      </c>
      <c r="C23" s="18">
        <f>ROUND(B23*1.1,0)</f>
        <v>7</v>
      </c>
      <c r="D23" s="18">
        <f t="shared" ref="D23:H23" si="2">ROUND(C23*1.1,0)</f>
        <v>8</v>
      </c>
      <c r="E23" s="18">
        <f t="shared" si="2"/>
        <v>9</v>
      </c>
      <c r="F23" s="18">
        <f t="shared" si="2"/>
        <v>10</v>
      </c>
      <c r="G23" s="18">
        <f t="shared" si="2"/>
        <v>11</v>
      </c>
      <c r="H23" s="18">
        <f t="shared" si="2"/>
        <v>12</v>
      </c>
      <c r="I23" s="241">
        <f>H23</f>
        <v>12</v>
      </c>
      <c r="J23" s="241">
        <f t="shared" ref="J23:K23" si="3">I23</f>
        <v>12</v>
      </c>
      <c r="K23" s="241">
        <f t="shared" si="3"/>
        <v>12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A3" sqref="A3:L14"/>
    </sheetView>
  </sheetViews>
  <sheetFormatPr defaultRowHeight="15" x14ac:dyDescent="0.25"/>
  <cols>
    <col min="1" max="1" width="10.5703125" customWidth="1"/>
    <col min="2" max="2" width="33.42578125" bestFit="1" customWidth="1"/>
    <col min="3" max="3" width="9.42578125" bestFit="1" customWidth="1"/>
    <col min="4" max="4" width="9" bestFit="1" customWidth="1"/>
    <col min="5" max="8" width="9.42578125" bestFit="1" customWidth="1"/>
    <col min="9" max="10" width="9.85546875" bestFit="1" customWidth="1"/>
    <col min="11" max="12" width="9.42578125" bestFit="1" customWidth="1"/>
  </cols>
  <sheetData>
    <row r="1" spans="1:12" x14ac:dyDescent="0.25">
      <c r="A1" t="s">
        <v>648</v>
      </c>
    </row>
    <row r="3" spans="1:12" x14ac:dyDescent="0.25">
      <c r="A3" s="46" t="s">
        <v>77</v>
      </c>
      <c r="B3" s="15" t="s">
        <v>1</v>
      </c>
      <c r="C3" s="272" t="s">
        <v>36</v>
      </c>
      <c r="D3" s="272" t="s">
        <v>37</v>
      </c>
      <c r="E3" s="272" t="s">
        <v>38</v>
      </c>
      <c r="F3" s="272" t="s">
        <v>39</v>
      </c>
      <c r="G3" s="272" t="s">
        <v>40</v>
      </c>
      <c r="H3" s="272" t="s">
        <v>41</v>
      </c>
      <c r="I3" s="272" t="s">
        <v>42</v>
      </c>
      <c r="J3" s="272" t="s">
        <v>499</v>
      </c>
      <c r="K3" s="272" t="s">
        <v>500</v>
      </c>
      <c r="L3" s="272" t="s">
        <v>501</v>
      </c>
    </row>
    <row r="4" spans="1:12" x14ac:dyDescent="0.25">
      <c r="A4" s="271" t="s">
        <v>79</v>
      </c>
      <c r="B4" s="26" t="s">
        <v>649</v>
      </c>
      <c r="C4" s="36">
        <v>10</v>
      </c>
      <c r="D4" s="36">
        <f>+ROUND(C4*1.05,)</f>
        <v>11</v>
      </c>
      <c r="E4" s="36">
        <f t="shared" ref="E4:L4" si="0">+ROUND(D4*1.05,)</f>
        <v>12</v>
      </c>
      <c r="F4" s="36">
        <f t="shared" si="0"/>
        <v>13</v>
      </c>
      <c r="G4" s="36">
        <f t="shared" si="0"/>
        <v>14</v>
      </c>
      <c r="H4" s="36">
        <f t="shared" si="0"/>
        <v>15</v>
      </c>
      <c r="I4" s="36">
        <f t="shared" si="0"/>
        <v>16</v>
      </c>
      <c r="J4" s="36">
        <f t="shared" si="0"/>
        <v>17</v>
      </c>
      <c r="K4" s="36">
        <f t="shared" si="0"/>
        <v>18</v>
      </c>
      <c r="L4" s="36">
        <f t="shared" si="0"/>
        <v>19</v>
      </c>
    </row>
    <row r="5" spans="1:12" x14ac:dyDescent="0.25">
      <c r="A5" s="6"/>
      <c r="B5" s="36" t="s">
        <v>650</v>
      </c>
      <c r="C5" s="42">
        <f>+'Output Schedule'!B37</f>
        <v>126</v>
      </c>
      <c r="D5" s="42">
        <f>+'Output Schedule'!C37</f>
        <v>138</v>
      </c>
      <c r="E5" s="42">
        <f>+'Output Schedule'!D37</f>
        <v>150</v>
      </c>
      <c r="F5" s="42">
        <f>+'Output Schedule'!E37</f>
        <v>162</v>
      </c>
      <c r="G5" s="42">
        <f>+'Output Schedule'!F37</f>
        <v>176</v>
      </c>
      <c r="H5" s="42">
        <f>+'Output Schedule'!G37</f>
        <v>188</v>
      </c>
      <c r="I5" s="42">
        <f>+'Output Schedule'!H37</f>
        <v>200</v>
      </c>
      <c r="J5" s="42">
        <f>+'Output Schedule'!I37</f>
        <v>212</v>
      </c>
      <c r="K5" s="42">
        <f>+'Output Schedule'!J37</f>
        <v>226</v>
      </c>
      <c r="L5" s="42">
        <f>+'Output Schedule'!K37</f>
        <v>238</v>
      </c>
    </row>
    <row r="6" spans="1:12" x14ac:dyDescent="0.25">
      <c r="A6" s="6"/>
      <c r="B6" s="36" t="s">
        <v>654</v>
      </c>
      <c r="C6" s="42">
        <v>200</v>
      </c>
      <c r="D6" s="42">
        <f>+ROUND(C6*1.05,-1)</f>
        <v>210</v>
      </c>
      <c r="E6" s="42">
        <f t="shared" ref="E6:L6" si="1">+ROUND(D6*1.05,-1)</f>
        <v>220</v>
      </c>
      <c r="F6" s="42">
        <f t="shared" si="1"/>
        <v>230</v>
      </c>
      <c r="G6" s="42">
        <f t="shared" si="1"/>
        <v>240</v>
      </c>
      <c r="H6" s="42">
        <f t="shared" si="1"/>
        <v>250</v>
      </c>
      <c r="I6" s="42">
        <f t="shared" si="1"/>
        <v>260</v>
      </c>
      <c r="J6" s="42">
        <f t="shared" si="1"/>
        <v>270</v>
      </c>
      <c r="K6" s="42">
        <f t="shared" si="1"/>
        <v>280</v>
      </c>
      <c r="L6" s="42">
        <f t="shared" si="1"/>
        <v>290</v>
      </c>
    </row>
    <row r="7" spans="1:12" x14ac:dyDescent="0.25">
      <c r="A7" s="6"/>
      <c r="B7" s="26" t="s">
        <v>323</v>
      </c>
      <c r="C7" s="41">
        <f>+C4*C5*C6/100000</f>
        <v>2.52</v>
      </c>
      <c r="D7" s="41">
        <f t="shared" ref="D7:L7" si="2">+D4*D5*D6/100000</f>
        <v>3.1878000000000002</v>
      </c>
      <c r="E7" s="41">
        <f t="shared" si="2"/>
        <v>3.96</v>
      </c>
      <c r="F7" s="41">
        <f t="shared" si="2"/>
        <v>4.8437999999999999</v>
      </c>
      <c r="G7" s="41">
        <f t="shared" si="2"/>
        <v>5.9135999999999997</v>
      </c>
      <c r="H7" s="41">
        <f t="shared" si="2"/>
        <v>7.05</v>
      </c>
      <c r="I7" s="41">
        <f t="shared" si="2"/>
        <v>8.32</v>
      </c>
      <c r="J7" s="41">
        <f t="shared" si="2"/>
        <v>9.7308000000000003</v>
      </c>
      <c r="K7" s="41">
        <f t="shared" si="2"/>
        <v>11.3904</v>
      </c>
      <c r="L7" s="41">
        <f t="shared" si="2"/>
        <v>13.113799999999999</v>
      </c>
    </row>
    <row r="8" spans="1:12" x14ac:dyDescent="0.25">
      <c r="A8" s="6"/>
      <c r="B8" s="26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271" t="s">
        <v>84</v>
      </c>
      <c r="B9" s="26" t="s">
        <v>651</v>
      </c>
      <c r="C9" s="36">
        <v>10</v>
      </c>
      <c r="D9" s="36">
        <f>+ROUND(C9*1.05,)</f>
        <v>11</v>
      </c>
      <c r="E9" s="36">
        <f t="shared" ref="E9:L9" si="3">+ROUND(D9*1.05,)</f>
        <v>12</v>
      </c>
      <c r="F9" s="36">
        <f t="shared" si="3"/>
        <v>13</v>
      </c>
      <c r="G9" s="36">
        <f t="shared" si="3"/>
        <v>14</v>
      </c>
      <c r="H9" s="36">
        <f t="shared" si="3"/>
        <v>15</v>
      </c>
      <c r="I9" s="36">
        <f t="shared" si="3"/>
        <v>16</v>
      </c>
      <c r="J9" s="36">
        <f t="shared" si="3"/>
        <v>17</v>
      </c>
      <c r="K9" s="36">
        <f t="shared" si="3"/>
        <v>18</v>
      </c>
      <c r="L9" s="36">
        <f t="shared" si="3"/>
        <v>19</v>
      </c>
    </row>
    <row r="10" spans="1:12" x14ac:dyDescent="0.25">
      <c r="A10" s="6"/>
      <c r="B10" s="36" t="s">
        <v>650</v>
      </c>
      <c r="C10" s="42">
        <f>+C5</f>
        <v>126</v>
      </c>
      <c r="D10" s="42">
        <f t="shared" ref="D10:L10" si="4">+D5</f>
        <v>138</v>
      </c>
      <c r="E10" s="42">
        <f t="shared" si="4"/>
        <v>150</v>
      </c>
      <c r="F10" s="42">
        <f t="shared" si="4"/>
        <v>162</v>
      </c>
      <c r="G10" s="42">
        <f t="shared" si="4"/>
        <v>176</v>
      </c>
      <c r="H10" s="42">
        <f t="shared" si="4"/>
        <v>188</v>
      </c>
      <c r="I10" s="42">
        <f t="shared" si="4"/>
        <v>200</v>
      </c>
      <c r="J10" s="42">
        <f t="shared" si="4"/>
        <v>212</v>
      </c>
      <c r="K10" s="42">
        <f t="shared" si="4"/>
        <v>226</v>
      </c>
      <c r="L10" s="42">
        <f t="shared" si="4"/>
        <v>238</v>
      </c>
    </row>
    <row r="11" spans="1:12" x14ac:dyDescent="0.25">
      <c r="A11" s="6"/>
      <c r="B11" s="36" t="s">
        <v>654</v>
      </c>
      <c r="C11" s="42">
        <v>100</v>
      </c>
      <c r="D11" s="42">
        <f>+ROUND(C11*1.05,-1)</f>
        <v>110</v>
      </c>
      <c r="E11" s="42">
        <f t="shared" ref="E11:L11" si="5">+ROUND(D11*1.05,-1)</f>
        <v>120</v>
      </c>
      <c r="F11" s="42">
        <f t="shared" si="5"/>
        <v>130</v>
      </c>
      <c r="G11" s="42">
        <f t="shared" si="5"/>
        <v>140</v>
      </c>
      <c r="H11" s="42">
        <f t="shared" si="5"/>
        <v>150</v>
      </c>
      <c r="I11" s="42">
        <f t="shared" si="5"/>
        <v>160</v>
      </c>
      <c r="J11" s="42">
        <f t="shared" si="5"/>
        <v>170</v>
      </c>
      <c r="K11" s="42">
        <f t="shared" si="5"/>
        <v>180</v>
      </c>
      <c r="L11" s="42">
        <f t="shared" si="5"/>
        <v>190</v>
      </c>
    </row>
    <row r="12" spans="1:12" x14ac:dyDescent="0.25">
      <c r="A12" s="6"/>
      <c r="B12" s="26" t="s">
        <v>323</v>
      </c>
      <c r="C12" s="41">
        <f>+C9*C10*C11/100000</f>
        <v>1.26</v>
      </c>
      <c r="D12" s="41">
        <f t="shared" ref="D12" si="6">+D9*D10*D11/100000</f>
        <v>1.6698</v>
      </c>
      <c r="E12" s="41">
        <f t="shared" ref="E12" si="7">+E9*E10*E11/100000</f>
        <v>2.16</v>
      </c>
      <c r="F12" s="41">
        <f t="shared" ref="F12" si="8">+F9*F10*F11/100000</f>
        <v>2.7378</v>
      </c>
      <c r="G12" s="41">
        <f t="shared" ref="G12" si="9">+G9*G10*G11/100000</f>
        <v>3.4496000000000002</v>
      </c>
      <c r="H12" s="41">
        <f t="shared" ref="H12" si="10">+H9*H10*H11/100000</f>
        <v>4.2300000000000004</v>
      </c>
      <c r="I12" s="41">
        <f t="shared" ref="I12" si="11">+I9*I10*I11/100000</f>
        <v>5.12</v>
      </c>
      <c r="J12" s="41">
        <f t="shared" ref="J12" si="12">+J9*J10*J11/100000</f>
        <v>6.1268000000000002</v>
      </c>
      <c r="K12" s="41">
        <f t="shared" ref="K12" si="13">+K9*K10*K11/100000</f>
        <v>7.3224</v>
      </c>
      <c r="L12" s="41">
        <f t="shared" ref="L12" si="14">+L9*L10*L11/100000</f>
        <v>8.5917999999999992</v>
      </c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8"/>
      <c r="B14" s="283" t="s">
        <v>652</v>
      </c>
      <c r="C14" s="284">
        <f>+C7+C12</f>
        <v>3.7800000000000002</v>
      </c>
      <c r="D14" s="284">
        <f t="shared" ref="D14:L14" si="15">+D7+D12</f>
        <v>4.8575999999999997</v>
      </c>
      <c r="E14" s="284">
        <f t="shared" si="15"/>
        <v>6.12</v>
      </c>
      <c r="F14" s="284">
        <f t="shared" si="15"/>
        <v>7.5815999999999999</v>
      </c>
      <c r="G14" s="284">
        <f t="shared" si="15"/>
        <v>9.3631999999999991</v>
      </c>
      <c r="H14" s="284">
        <f t="shared" si="15"/>
        <v>11.280000000000001</v>
      </c>
      <c r="I14" s="284">
        <f t="shared" si="15"/>
        <v>13.440000000000001</v>
      </c>
      <c r="J14" s="284">
        <f t="shared" si="15"/>
        <v>15.857600000000001</v>
      </c>
      <c r="K14" s="284">
        <f t="shared" si="15"/>
        <v>18.712800000000001</v>
      </c>
      <c r="L14" s="284">
        <f t="shared" si="15"/>
        <v>21.705599999999997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view="pageBreakPreview" topLeftCell="A42" zoomScale="60" zoomScaleNormal="100" workbookViewId="0">
      <selection activeCell="A2" sqref="A2:L4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12" width="9.85546875" style="53" customWidth="1"/>
    <col min="13" max="13" width="12.5703125" style="53" bestFit="1" customWidth="1"/>
    <col min="14" max="14" width="13.140625" style="53" customWidth="1"/>
    <col min="15" max="15" width="14.140625" style="53" customWidth="1"/>
    <col min="16" max="16" width="4.42578125" style="53" bestFit="1" customWidth="1"/>
    <col min="17" max="17" width="9.85546875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111</v>
      </c>
      <c r="C2" s="221" t="s">
        <v>36</v>
      </c>
      <c r="D2" s="221" t="s">
        <v>37</v>
      </c>
      <c r="E2" s="221" t="s">
        <v>38</v>
      </c>
      <c r="F2" s="221" t="s">
        <v>39</v>
      </c>
      <c r="G2" s="221" t="s">
        <v>40</v>
      </c>
      <c r="H2" s="221" t="s">
        <v>41</v>
      </c>
      <c r="I2" s="221" t="s">
        <v>42</v>
      </c>
      <c r="J2" s="221" t="s">
        <v>499</v>
      </c>
      <c r="K2" s="221" t="s">
        <v>500</v>
      </c>
      <c r="L2" s="221" t="s">
        <v>501</v>
      </c>
      <c r="N2" s="314" t="s">
        <v>112</v>
      </c>
      <c r="O2" s="314"/>
      <c r="P2" s="314"/>
      <c r="Q2" s="314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15" t="s">
        <v>113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7"/>
      <c r="N4" s="51"/>
      <c r="O4" s="51"/>
      <c r="P4" s="51"/>
      <c r="Q4" s="62"/>
    </row>
    <row r="5" spans="1:17" x14ac:dyDescent="0.2">
      <c r="A5" s="62" t="s">
        <v>114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95</v>
      </c>
      <c r="O5" s="51">
        <v>200</v>
      </c>
      <c r="P5" s="51">
        <v>12</v>
      </c>
      <c r="Q5" s="51">
        <f>N5*O5*P5</f>
        <v>228000</v>
      </c>
    </row>
    <row r="6" spans="1:17" x14ac:dyDescent="0.2">
      <c r="A6" s="51" t="s">
        <v>115</v>
      </c>
      <c r="B6" s="51" t="s">
        <v>116</v>
      </c>
      <c r="C6" s="52">
        <f>2000*12/100000</f>
        <v>0.24</v>
      </c>
      <c r="D6" s="52">
        <f t="shared" ref="D6:I16" si="0">C6*1.05</f>
        <v>0.252</v>
      </c>
      <c r="E6" s="52">
        <f t="shared" si="0"/>
        <v>0.2646</v>
      </c>
      <c r="F6" s="52">
        <f t="shared" si="0"/>
        <v>0.27783000000000002</v>
      </c>
      <c r="G6" s="52">
        <f t="shared" si="0"/>
        <v>0.29172150000000002</v>
      </c>
      <c r="H6" s="52">
        <f t="shared" si="0"/>
        <v>0.30630757500000005</v>
      </c>
      <c r="I6" s="52">
        <f t="shared" si="0"/>
        <v>0.32162295375000005</v>
      </c>
      <c r="J6" s="52">
        <f t="shared" ref="J6:J16" si="1">I6*1.05</f>
        <v>0.33770410143750007</v>
      </c>
      <c r="K6" s="52">
        <f t="shared" ref="K6:K16" si="2">J6*1.05</f>
        <v>0.35458930650937509</v>
      </c>
      <c r="L6" s="52">
        <f t="shared" ref="L6:L16" si="3">K6*1.05</f>
        <v>0.37231877183484385</v>
      </c>
      <c r="M6" s="63"/>
      <c r="N6" s="315" t="s">
        <v>117</v>
      </c>
      <c r="O6" s="316"/>
      <c r="P6" s="316"/>
      <c r="Q6" s="317"/>
    </row>
    <row r="7" spans="1:17" x14ac:dyDescent="0.2">
      <c r="A7" s="51" t="s">
        <v>118</v>
      </c>
      <c r="B7" s="51" t="s">
        <v>605</v>
      </c>
      <c r="C7" s="52">
        <f>1000*12/100000</f>
        <v>0.12</v>
      </c>
      <c r="D7" s="52">
        <f t="shared" si="0"/>
        <v>0.126</v>
      </c>
      <c r="E7" s="52">
        <f t="shared" si="0"/>
        <v>0.1323</v>
      </c>
      <c r="F7" s="52">
        <f t="shared" si="0"/>
        <v>0.13891500000000001</v>
      </c>
      <c r="G7" s="52">
        <f t="shared" si="0"/>
        <v>0.14586075000000001</v>
      </c>
      <c r="H7" s="52">
        <f t="shared" si="0"/>
        <v>0.15315378750000003</v>
      </c>
      <c r="I7" s="52">
        <f t="shared" si="0"/>
        <v>0.16081147687500003</v>
      </c>
      <c r="J7" s="52">
        <f t="shared" si="1"/>
        <v>0.16885205071875004</v>
      </c>
      <c r="K7" s="52">
        <f t="shared" si="2"/>
        <v>0.17729465325468755</v>
      </c>
      <c r="L7" s="52">
        <f t="shared" si="3"/>
        <v>0.18615938591742193</v>
      </c>
      <c r="M7" s="63"/>
      <c r="N7" s="51">
        <f>N5+N3</f>
        <v>100</v>
      </c>
      <c r="O7" s="51"/>
      <c r="P7" s="51"/>
      <c r="Q7" s="51"/>
    </row>
    <row r="8" spans="1:17" x14ac:dyDescent="0.2">
      <c r="A8" s="51" t="s">
        <v>604</v>
      </c>
      <c r="B8" s="51" t="s">
        <v>646</v>
      </c>
      <c r="C8" s="52">
        <f>10000*12/100000</f>
        <v>1.2</v>
      </c>
      <c r="D8" s="52">
        <f t="shared" ref="D8" si="4">C8*1.05</f>
        <v>1.26</v>
      </c>
      <c r="E8" s="52">
        <f t="shared" ref="E8" si="5">D8*1.05</f>
        <v>1.3230000000000002</v>
      </c>
      <c r="F8" s="52">
        <f t="shared" ref="F8" si="6">E8*1.05</f>
        <v>1.3891500000000003</v>
      </c>
      <c r="G8" s="52">
        <f t="shared" ref="G8" si="7">F8*1.05</f>
        <v>1.4586075000000005</v>
      </c>
      <c r="H8" s="52">
        <f t="shared" ref="H8" si="8">G8*1.05</f>
        <v>1.5315378750000006</v>
      </c>
      <c r="I8" s="52">
        <f t="shared" ref="I8" si="9">H8*1.05</f>
        <v>1.6081147687500008</v>
      </c>
      <c r="J8" s="52">
        <f t="shared" ref="J8" si="10">I8*1.05</f>
        <v>1.6885205071875009</v>
      </c>
      <c r="K8" s="52">
        <f t="shared" ref="K8" si="11">J8*1.05</f>
        <v>1.7729465325468761</v>
      </c>
      <c r="L8" s="52">
        <f t="shared" ref="L8" si="12">K8*1.05</f>
        <v>1.86159385917422</v>
      </c>
      <c r="M8" s="63"/>
      <c r="N8" s="51"/>
      <c r="O8" s="51"/>
      <c r="P8" s="51"/>
      <c r="Q8" s="51"/>
    </row>
    <row r="9" spans="1:17" x14ac:dyDescent="0.2">
      <c r="A9" s="51" t="s">
        <v>119</v>
      </c>
      <c r="B9" s="51" t="s">
        <v>120</v>
      </c>
      <c r="C9" s="52">
        <v>0.15</v>
      </c>
      <c r="D9" s="52">
        <f t="shared" si="0"/>
        <v>0.1575</v>
      </c>
      <c r="E9" s="52">
        <f t="shared" si="0"/>
        <v>0.16537500000000002</v>
      </c>
      <c r="F9" s="52">
        <f t="shared" si="0"/>
        <v>0.17364375000000004</v>
      </c>
      <c r="G9" s="52">
        <f t="shared" si="0"/>
        <v>0.18232593750000006</v>
      </c>
      <c r="H9" s="52">
        <f t="shared" si="0"/>
        <v>0.19144223437500008</v>
      </c>
      <c r="I9" s="52">
        <f t="shared" si="0"/>
        <v>0.2010143460937501</v>
      </c>
      <c r="J9" s="52">
        <f t="shared" si="1"/>
        <v>0.21106506339843761</v>
      </c>
      <c r="K9" s="52">
        <f t="shared" si="2"/>
        <v>0.22161831656835951</v>
      </c>
      <c r="L9" s="52">
        <f t="shared" si="3"/>
        <v>0.23269923239677751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121</v>
      </c>
      <c r="B10" s="51" t="s">
        <v>122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123</v>
      </c>
      <c r="B11" s="51" t="s">
        <v>124</v>
      </c>
      <c r="C11" s="52">
        <f>3000*12/100000</f>
        <v>0.36</v>
      </c>
      <c r="D11" s="52">
        <f t="shared" ref="D11" si="13">C11*1.05</f>
        <v>0.378</v>
      </c>
      <c r="E11" s="52">
        <f t="shared" ref="E11" si="14">D11*1.05</f>
        <v>0.39690000000000003</v>
      </c>
      <c r="F11" s="52">
        <f t="shared" ref="F11" si="15">E11*1.05</f>
        <v>0.41674500000000003</v>
      </c>
      <c r="G11" s="52">
        <f t="shared" ref="G11" si="16">F11*1.05</f>
        <v>0.43758225000000006</v>
      </c>
      <c r="H11" s="52">
        <f t="shared" ref="H11" si="17">G11*1.05</f>
        <v>0.45946136250000008</v>
      </c>
      <c r="I11" s="52">
        <f t="shared" ref="I11" si="18">H11*1.05</f>
        <v>0.48243443062500013</v>
      </c>
      <c r="J11" s="52">
        <f t="shared" ref="J11" si="19">I11*1.05</f>
        <v>0.50655615215625016</v>
      </c>
      <c r="K11" s="52">
        <f t="shared" ref="K11" si="20">J11*1.05</f>
        <v>0.53188395976406266</v>
      </c>
      <c r="L11" s="52">
        <f t="shared" ref="L11" si="21">K11*1.05</f>
        <v>0.55847815775226584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125</v>
      </c>
      <c r="B12" s="51" t="s">
        <v>124</v>
      </c>
      <c r="C12" s="52">
        <f>3000*12/100000</f>
        <v>0.36</v>
      </c>
      <c r="D12" s="52">
        <f t="shared" si="0"/>
        <v>0.378</v>
      </c>
      <c r="E12" s="52">
        <f t="shared" si="0"/>
        <v>0.39690000000000003</v>
      </c>
      <c r="F12" s="52">
        <f t="shared" si="0"/>
        <v>0.41674500000000003</v>
      </c>
      <c r="G12" s="52">
        <f t="shared" si="0"/>
        <v>0.43758225000000006</v>
      </c>
      <c r="H12" s="52">
        <f t="shared" si="0"/>
        <v>0.45946136250000008</v>
      </c>
      <c r="I12" s="52">
        <f t="shared" si="0"/>
        <v>0.48243443062500013</v>
      </c>
      <c r="J12" s="52">
        <f t="shared" si="1"/>
        <v>0.50655615215625016</v>
      </c>
      <c r="K12" s="52">
        <f t="shared" si="2"/>
        <v>0.53188395976406266</v>
      </c>
      <c r="L12" s="52">
        <f t="shared" si="3"/>
        <v>0.55847815775226584</v>
      </c>
      <c r="M12" s="63"/>
      <c r="N12" s="51">
        <v>10</v>
      </c>
      <c r="O12" s="51"/>
      <c r="P12" s="51"/>
      <c r="Q12" s="51"/>
    </row>
    <row r="13" spans="1:17" ht="25.5" x14ac:dyDescent="0.2">
      <c r="A13" s="51" t="s">
        <v>126</v>
      </c>
      <c r="B13" s="51" t="s">
        <v>127</v>
      </c>
      <c r="C13" s="52">
        <f>SUM('Manpower Schedule'!G3:G9)</f>
        <v>5.04</v>
      </c>
      <c r="D13" s="52">
        <f t="shared" si="0"/>
        <v>5.2920000000000007</v>
      </c>
      <c r="E13" s="52">
        <f t="shared" si="0"/>
        <v>5.5566000000000013</v>
      </c>
      <c r="F13" s="52">
        <f t="shared" si="0"/>
        <v>5.834430000000002</v>
      </c>
      <c r="G13" s="52">
        <f t="shared" si="0"/>
        <v>6.1261515000000024</v>
      </c>
      <c r="H13" s="52">
        <f t="shared" si="0"/>
        <v>6.4324590750000032</v>
      </c>
      <c r="I13" s="52">
        <f t="shared" si="0"/>
        <v>6.7540820287500036</v>
      </c>
      <c r="J13" s="52">
        <f t="shared" si="1"/>
        <v>7.0917861301875043</v>
      </c>
      <c r="K13" s="52">
        <f t="shared" si="2"/>
        <v>7.4463754366968802</v>
      </c>
      <c r="L13" s="52">
        <f t="shared" si="3"/>
        <v>7.8186942085317241</v>
      </c>
      <c r="M13" s="63"/>
      <c r="N13" s="62">
        <f>N7*N9*N10*N11*N12</f>
        <v>6400</v>
      </c>
      <c r="O13" s="51"/>
      <c r="P13" s="51"/>
      <c r="Q13" s="51"/>
    </row>
    <row r="14" spans="1:17" x14ac:dyDescent="0.2">
      <c r="A14" s="51" t="s">
        <v>128</v>
      </c>
      <c r="B14" s="51" t="s">
        <v>663</v>
      </c>
      <c r="C14" s="52">
        <f>5000*12/100000</f>
        <v>0.6</v>
      </c>
      <c r="D14" s="52">
        <f t="shared" si="0"/>
        <v>0.63</v>
      </c>
      <c r="E14" s="52">
        <f t="shared" si="0"/>
        <v>0.66150000000000009</v>
      </c>
      <c r="F14" s="52">
        <f t="shared" si="0"/>
        <v>0.69457500000000016</v>
      </c>
      <c r="G14" s="52">
        <f t="shared" si="0"/>
        <v>0.72930375000000025</v>
      </c>
      <c r="H14" s="52">
        <f t="shared" si="0"/>
        <v>0.7657689375000003</v>
      </c>
      <c r="I14" s="52">
        <f t="shared" si="0"/>
        <v>0.80405738437500041</v>
      </c>
      <c r="J14" s="52">
        <f t="shared" si="1"/>
        <v>0.84426025359375045</v>
      </c>
      <c r="K14" s="52">
        <f t="shared" si="2"/>
        <v>0.88647326627343803</v>
      </c>
      <c r="L14" s="52">
        <f t="shared" si="3"/>
        <v>0.93079692958711002</v>
      </c>
      <c r="M14" s="63"/>
    </row>
    <row r="15" spans="1:17" x14ac:dyDescent="0.2">
      <c r="A15" s="51" t="s">
        <v>129</v>
      </c>
      <c r="B15" s="51" t="s">
        <v>663</v>
      </c>
      <c r="C15" s="52">
        <f>5000*12/100000</f>
        <v>0.6</v>
      </c>
      <c r="D15" s="52">
        <f t="shared" si="0"/>
        <v>0.63</v>
      </c>
      <c r="E15" s="52">
        <f t="shared" si="0"/>
        <v>0.66150000000000009</v>
      </c>
      <c r="F15" s="52">
        <f t="shared" si="0"/>
        <v>0.69457500000000016</v>
      </c>
      <c r="G15" s="52">
        <f t="shared" si="0"/>
        <v>0.72930375000000025</v>
      </c>
      <c r="H15" s="52">
        <f t="shared" si="0"/>
        <v>0.7657689375000003</v>
      </c>
      <c r="I15" s="52">
        <f t="shared" si="0"/>
        <v>0.80405738437500041</v>
      </c>
      <c r="J15" s="52">
        <f t="shared" si="1"/>
        <v>0.84426025359375045</v>
      </c>
      <c r="K15" s="52">
        <f t="shared" si="2"/>
        <v>0.88647326627343803</v>
      </c>
      <c r="L15" s="52">
        <f t="shared" si="3"/>
        <v>0.93079692958711002</v>
      </c>
      <c r="M15" s="63"/>
    </row>
    <row r="16" spans="1:17" x14ac:dyDescent="0.2">
      <c r="A16" s="51" t="s">
        <v>130</v>
      </c>
      <c r="B16" s="51" t="s">
        <v>131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64</v>
      </c>
      <c r="Q16" s="53">
        <f>N7*N9*N10</f>
        <v>64</v>
      </c>
    </row>
    <row r="17" spans="1:13" ht="25.5" x14ac:dyDescent="0.2">
      <c r="A17" s="51" t="s">
        <v>132</v>
      </c>
      <c r="B17" s="51" t="s">
        <v>133</v>
      </c>
      <c r="C17" s="52">
        <f t="shared" ref="C17:I17" si="22">C13*0.1</f>
        <v>0.504</v>
      </c>
      <c r="D17" s="52">
        <f t="shared" si="22"/>
        <v>0.52920000000000011</v>
      </c>
      <c r="E17" s="52">
        <f t="shared" si="22"/>
        <v>0.55566000000000015</v>
      </c>
      <c r="F17" s="52">
        <f t="shared" si="22"/>
        <v>0.58344300000000027</v>
      </c>
      <c r="G17" s="52">
        <f t="shared" si="22"/>
        <v>0.61261515000000033</v>
      </c>
      <c r="H17" s="52">
        <f t="shared" si="22"/>
        <v>0.64324590750000032</v>
      </c>
      <c r="I17" s="52">
        <f t="shared" si="22"/>
        <v>0.67540820287500036</v>
      </c>
      <c r="J17" s="52">
        <f t="shared" ref="J17:L17" si="23">J13*0.1</f>
        <v>0.70917861301875051</v>
      </c>
      <c r="K17" s="52">
        <f t="shared" si="23"/>
        <v>0.74463754366968804</v>
      </c>
      <c r="L17" s="52">
        <f t="shared" si="23"/>
        <v>0.78186942085317246</v>
      </c>
      <c r="M17" s="63"/>
    </row>
    <row r="18" spans="1:13" ht="25.5" x14ac:dyDescent="0.2">
      <c r="A18" s="62" t="s">
        <v>134</v>
      </c>
      <c r="B18" s="62"/>
      <c r="C18" s="64">
        <f t="shared" ref="C18:I18" si="24">SUM(C6:C17)</f>
        <v>9.4139999999999979</v>
      </c>
      <c r="D18" s="64">
        <f t="shared" si="24"/>
        <v>9.8847000000000005</v>
      </c>
      <c r="E18" s="64">
        <f t="shared" si="24"/>
        <v>10.378935000000002</v>
      </c>
      <c r="F18" s="64">
        <f t="shared" si="24"/>
        <v>10.897881750000005</v>
      </c>
      <c r="G18" s="64">
        <f t="shared" si="24"/>
        <v>11.442775837500003</v>
      </c>
      <c r="H18" s="64">
        <f t="shared" si="24"/>
        <v>12.014914629375006</v>
      </c>
      <c r="I18" s="64">
        <f t="shared" si="24"/>
        <v>12.615660360843755</v>
      </c>
      <c r="J18" s="64">
        <f t="shared" ref="J18:L18" si="25">SUM(J6:J17)</f>
        <v>13.246443378885944</v>
      </c>
      <c r="K18" s="64">
        <f t="shared" si="25"/>
        <v>13.908765547830241</v>
      </c>
      <c r="L18" s="64">
        <f t="shared" si="25"/>
        <v>14.604203825221758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135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ht="25.5" x14ac:dyDescent="0.2">
      <c r="A22" s="51" t="s">
        <v>136</v>
      </c>
      <c r="B22" s="285" t="s">
        <v>664</v>
      </c>
      <c r="C22" s="52">
        <f>+Depn!C19*1%</f>
        <v>2.2042000000000002</v>
      </c>
      <c r="D22" s="52">
        <f t="shared" ref="D22:I25" si="26">C22*1.05</f>
        <v>2.3144100000000001</v>
      </c>
      <c r="E22" s="52">
        <f t="shared" si="26"/>
        <v>2.4301305000000002</v>
      </c>
      <c r="F22" s="52">
        <f t="shared" si="26"/>
        <v>2.5516370250000002</v>
      </c>
      <c r="G22" s="52">
        <f t="shared" si="26"/>
        <v>2.6792188762500002</v>
      </c>
      <c r="H22" s="52">
        <f t="shared" si="26"/>
        <v>2.8131798200625004</v>
      </c>
      <c r="I22" s="52">
        <f t="shared" si="26"/>
        <v>2.9538388110656255</v>
      </c>
      <c r="J22" s="52">
        <f t="shared" ref="J22:J25" si="27">I22*1.05</f>
        <v>3.101530751618907</v>
      </c>
      <c r="K22" s="52">
        <f t="shared" ref="K22:K25" si="28">J22*1.05</f>
        <v>3.2566072891998523</v>
      </c>
      <c r="L22" s="52">
        <f t="shared" ref="L22:L25" si="29">K22*1.05</f>
        <v>3.4194376536598452</v>
      </c>
    </row>
    <row r="23" spans="1:13" ht="38.25" x14ac:dyDescent="0.2">
      <c r="A23" s="51" t="s">
        <v>137</v>
      </c>
      <c r="B23" s="51" t="s">
        <v>138</v>
      </c>
      <c r="C23" s="52">
        <f>('Project Glance'!B6+'Project Glance'!B8+'Project Glance'!B9+'Project Glance'!B11+'Project Glance'!B7)*0.5%</f>
        <v>1.1021000000000001</v>
      </c>
      <c r="D23" s="52">
        <f t="shared" si="26"/>
        <v>1.157205</v>
      </c>
      <c r="E23" s="52">
        <f t="shared" si="26"/>
        <v>1.2150652500000001</v>
      </c>
      <c r="F23" s="52">
        <f t="shared" si="26"/>
        <v>1.2758185125000001</v>
      </c>
      <c r="G23" s="52">
        <f t="shared" si="26"/>
        <v>1.3396094381250001</v>
      </c>
      <c r="H23" s="52">
        <f t="shared" si="26"/>
        <v>1.4065899100312502</v>
      </c>
      <c r="I23" s="52">
        <f t="shared" si="26"/>
        <v>1.4769194055328128</v>
      </c>
      <c r="J23" s="52">
        <f t="shared" si="27"/>
        <v>1.5507653758094535</v>
      </c>
      <c r="K23" s="52">
        <f t="shared" si="28"/>
        <v>1.6283036445999262</v>
      </c>
      <c r="L23" s="52">
        <f t="shared" si="29"/>
        <v>1.7097188268299226</v>
      </c>
    </row>
    <row r="24" spans="1:13" ht="25.5" x14ac:dyDescent="0.2">
      <c r="A24" s="51" t="s">
        <v>139</v>
      </c>
      <c r="B24" s="51" t="s">
        <v>140</v>
      </c>
      <c r="C24" s="52">
        <f>SUM('Manpower Schedule'!G11:G17)</f>
        <v>9.120000000000001</v>
      </c>
      <c r="D24" s="52">
        <f t="shared" si="26"/>
        <v>9.5760000000000023</v>
      </c>
      <c r="E24" s="52">
        <f t="shared" si="26"/>
        <v>10.054800000000002</v>
      </c>
      <c r="F24" s="52">
        <f t="shared" si="26"/>
        <v>10.557540000000003</v>
      </c>
      <c r="G24" s="52">
        <f t="shared" si="26"/>
        <v>11.085417000000003</v>
      </c>
      <c r="H24" s="52">
        <f t="shared" si="26"/>
        <v>11.639687850000003</v>
      </c>
      <c r="I24" s="52">
        <f t="shared" si="26"/>
        <v>12.221672242500004</v>
      </c>
      <c r="J24" s="52">
        <f t="shared" si="27"/>
        <v>12.832755854625004</v>
      </c>
      <c r="K24" s="52">
        <f t="shared" si="28"/>
        <v>13.474393647356255</v>
      </c>
      <c r="L24" s="52">
        <f t="shared" si="29"/>
        <v>14.148113329724069</v>
      </c>
    </row>
    <row r="25" spans="1:13" ht="25.5" x14ac:dyDescent="0.2">
      <c r="A25" s="51" t="s">
        <v>141</v>
      </c>
      <c r="B25" s="51" t="s">
        <v>662</v>
      </c>
      <c r="C25" s="52">
        <f>Q5/100000</f>
        <v>2.2799999999999998</v>
      </c>
      <c r="D25" s="52">
        <f t="shared" si="26"/>
        <v>2.3939999999999997</v>
      </c>
      <c r="E25" s="52">
        <f t="shared" si="26"/>
        <v>2.5136999999999996</v>
      </c>
      <c r="F25" s="52">
        <f t="shared" si="26"/>
        <v>2.6393849999999999</v>
      </c>
      <c r="G25" s="52">
        <f t="shared" si="26"/>
        <v>2.7713542499999999</v>
      </c>
      <c r="H25" s="52">
        <f t="shared" si="26"/>
        <v>2.9099219624999999</v>
      </c>
      <c r="I25" s="52">
        <f t="shared" si="26"/>
        <v>3.0554180606250001</v>
      </c>
      <c r="J25" s="52">
        <f t="shared" si="27"/>
        <v>3.2081889636562502</v>
      </c>
      <c r="K25" s="52">
        <f t="shared" si="28"/>
        <v>3.3685984118390628</v>
      </c>
      <c r="L25" s="52">
        <f t="shared" si="29"/>
        <v>3.5370283324310163</v>
      </c>
    </row>
    <row r="26" spans="1:13" ht="38.25" hidden="1" x14ac:dyDescent="0.2">
      <c r="A26" s="51" t="s">
        <v>459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142</v>
      </c>
      <c r="B27" s="62"/>
      <c r="C27" s="66">
        <f>SUM(C22:C25)</f>
        <v>14.706300000000001</v>
      </c>
      <c r="D27" s="66">
        <f t="shared" ref="D27:L27" si="30">SUM(D22:D25)</f>
        <v>15.441615000000002</v>
      </c>
      <c r="E27" s="66">
        <f t="shared" si="30"/>
        <v>16.213695750000003</v>
      </c>
      <c r="F27" s="66">
        <f t="shared" si="30"/>
        <v>17.024380537500004</v>
      </c>
      <c r="G27" s="66">
        <f t="shared" si="30"/>
        <v>17.875599564375001</v>
      </c>
      <c r="H27" s="66">
        <f t="shared" si="30"/>
        <v>18.769379542593754</v>
      </c>
      <c r="I27" s="66">
        <f t="shared" si="30"/>
        <v>19.707848519723441</v>
      </c>
      <c r="J27" s="66">
        <f t="shared" si="30"/>
        <v>20.693240945709615</v>
      </c>
      <c r="K27" s="66">
        <f t="shared" si="30"/>
        <v>21.727902992995094</v>
      </c>
      <c r="L27" s="66">
        <f t="shared" si="30"/>
        <v>22.814298142644855</v>
      </c>
    </row>
    <row r="28" spans="1:13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3" x14ac:dyDescent="0.2">
      <c r="A29" s="315" t="s">
        <v>143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7"/>
    </row>
    <row r="30" spans="1:13" ht="25.5" x14ac:dyDescent="0.2">
      <c r="A30" s="51" t="s">
        <v>144</v>
      </c>
      <c r="B30" s="51" t="s">
        <v>145</v>
      </c>
      <c r="C30" s="52">
        <f>'Manpower Schedule'!B23*300*'Output Schedule'!B37/100000</f>
        <v>2.2679999999999998</v>
      </c>
      <c r="D30" s="52">
        <f>'Manpower Schedule'!C23*300*'Output Schedule'!C37/100000</f>
        <v>2.8980000000000001</v>
      </c>
      <c r="E30" s="52">
        <f>'Manpower Schedule'!D23*300*'Output Schedule'!D37/100000</f>
        <v>3.6</v>
      </c>
      <c r="F30" s="52">
        <f>'Manpower Schedule'!E23*300*'Output Schedule'!E37/100000</f>
        <v>4.3739999999999997</v>
      </c>
      <c r="G30" s="52">
        <f>'Manpower Schedule'!F23*300*'Output Schedule'!F37/100000</f>
        <v>5.28</v>
      </c>
      <c r="H30" s="52">
        <f>'Manpower Schedule'!G23*300*'Output Schedule'!G37/100000</f>
        <v>6.2039999999999997</v>
      </c>
      <c r="I30" s="52">
        <f>'Manpower Schedule'!H23*300*'Output Schedule'!H37/100000</f>
        <v>7.2</v>
      </c>
      <c r="J30" s="52">
        <f>'Manpower Schedule'!I23*300*'Output Schedule'!I37/100000</f>
        <v>7.6319999999999997</v>
      </c>
      <c r="K30" s="52">
        <f>'Manpower Schedule'!J23*300*'Output Schedule'!J37/100000</f>
        <v>8.1359999999999992</v>
      </c>
      <c r="L30" s="52">
        <f>'Manpower Schedule'!K23*300*'Output Schedule'!K37/100000</f>
        <v>8.5679999999999996</v>
      </c>
    </row>
    <row r="31" spans="1:13" ht="25.5" x14ac:dyDescent="0.2">
      <c r="A31" s="54" t="s">
        <v>141</v>
      </c>
      <c r="B31" s="51" t="s">
        <v>661</v>
      </c>
      <c r="C31" s="52">
        <f>$N$13*'Output Schedule'!B37/100000</f>
        <v>8.0640000000000001</v>
      </c>
      <c r="D31" s="52">
        <f>$N$13*'Output Schedule'!C37/100000</f>
        <v>8.8320000000000007</v>
      </c>
      <c r="E31" s="52">
        <f>$N$13*'Output Schedule'!D37/100000</f>
        <v>9.6</v>
      </c>
      <c r="F31" s="52">
        <f>$N$13*'Output Schedule'!E37/100000</f>
        <v>10.368</v>
      </c>
      <c r="G31" s="52">
        <f>$N$13*'Output Schedule'!F37/100000</f>
        <v>11.263999999999999</v>
      </c>
      <c r="H31" s="52">
        <f>$N$13*'Output Schedule'!G37/100000</f>
        <v>12.032</v>
      </c>
      <c r="I31" s="52">
        <f>$N$13*'Output Schedule'!H37/100000</f>
        <v>12.8</v>
      </c>
      <c r="J31" s="52">
        <f>$N$13*'Output Schedule'!I37/100000</f>
        <v>13.568</v>
      </c>
      <c r="K31" s="52">
        <f>$N$13*'Output Schedule'!J37/100000</f>
        <v>14.464</v>
      </c>
      <c r="L31" s="52">
        <f>$N$13*'Output Schedule'!K37/100000</f>
        <v>15.231999999999999</v>
      </c>
    </row>
    <row r="32" spans="1:13" x14ac:dyDescent="0.2">
      <c r="A32" s="54" t="s">
        <v>147</v>
      </c>
      <c r="B32" s="54" t="s">
        <v>148</v>
      </c>
      <c r="C32" s="52">
        <f>50*'Output Schedule'!B37/100000</f>
        <v>6.3E-2</v>
      </c>
      <c r="D32" s="52">
        <f>50*'Output Schedule'!C37/100000</f>
        <v>6.9000000000000006E-2</v>
      </c>
      <c r="E32" s="52">
        <f>50*'Output Schedule'!D37/100000</f>
        <v>7.4999999999999997E-2</v>
      </c>
      <c r="F32" s="52">
        <f>50*'Output Schedule'!E37/100000</f>
        <v>8.1000000000000003E-2</v>
      </c>
      <c r="G32" s="52">
        <f>50*'Output Schedule'!F37/100000</f>
        <v>8.7999999999999995E-2</v>
      </c>
      <c r="H32" s="52">
        <f>50*'Output Schedule'!G37/100000</f>
        <v>9.4E-2</v>
      </c>
      <c r="I32" s="52">
        <f>50*'Output Schedule'!H37/100000</f>
        <v>0.1</v>
      </c>
      <c r="J32" s="52">
        <f>50*'Output Schedule'!I37/100000</f>
        <v>0.106</v>
      </c>
      <c r="K32" s="52">
        <f>50*'Output Schedule'!J37/100000</f>
        <v>0.113</v>
      </c>
      <c r="L32" s="52">
        <f>50*'Output Schedule'!K37/100000</f>
        <v>0.11899999999999999</v>
      </c>
    </row>
    <row r="33" spans="1:17" ht="26.25" x14ac:dyDescent="0.25">
      <c r="A33" s="51" t="s">
        <v>149</v>
      </c>
      <c r="B33" s="67" t="s">
        <v>666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/>
    </row>
    <row r="34" spans="1:17" ht="15" x14ac:dyDescent="0.25">
      <c r="A34" s="54" t="s">
        <v>150</v>
      </c>
      <c r="B34" s="67" t="s">
        <v>645</v>
      </c>
      <c r="C34" s="52">
        <f>400*'Output Schedule'!B17/100000</f>
        <v>1.6</v>
      </c>
      <c r="D34" s="52">
        <f>400*'Output Schedule'!C17/100000</f>
        <v>1.7600000000000002</v>
      </c>
      <c r="E34" s="52">
        <f>400*'Output Schedule'!D17/100000</f>
        <v>1.9200000000000004</v>
      </c>
      <c r="F34" s="52">
        <f>400*'Output Schedule'!E17/100000</f>
        <v>2.0800000000000005</v>
      </c>
      <c r="G34" s="52">
        <f>400*'Output Schedule'!F17/100000</f>
        <v>2.2400000000000007</v>
      </c>
      <c r="H34" s="52">
        <f>400*'Output Schedule'!G17/100000</f>
        <v>2.4000000000000008</v>
      </c>
      <c r="I34" s="52">
        <f>400*'Output Schedule'!H17/100000</f>
        <v>2.5600000000000009</v>
      </c>
      <c r="J34" s="52">
        <f>400*'Output Schedule'!I17/100000</f>
        <v>2.7200000000000011</v>
      </c>
      <c r="K34" s="52">
        <f>400*'Output Schedule'!J17/100000</f>
        <v>2.8800000000000012</v>
      </c>
      <c r="L34" s="52">
        <f>400*'Output Schedule'!K17/100000</f>
        <v>3.0400000000000014</v>
      </c>
      <c r="M34"/>
      <c r="O34" s="68"/>
      <c r="P34" s="68"/>
      <c r="Q34" s="68"/>
    </row>
    <row r="35" spans="1:17" ht="39" x14ac:dyDescent="0.25">
      <c r="A35" s="51" t="s">
        <v>151</v>
      </c>
      <c r="B35" s="69" t="s">
        <v>152</v>
      </c>
      <c r="C35" s="52">
        <f>800*'Manpower Schedule'!B23/100000</f>
        <v>4.8000000000000001E-2</v>
      </c>
      <c r="D35" s="52">
        <f>800*'Manpower Schedule'!C23/100000</f>
        <v>5.6000000000000001E-2</v>
      </c>
      <c r="E35" s="52">
        <f>800*'Manpower Schedule'!D23/100000</f>
        <v>6.4000000000000001E-2</v>
      </c>
      <c r="F35" s="52">
        <f>800*'Manpower Schedule'!E23/100000</f>
        <v>7.1999999999999995E-2</v>
      </c>
      <c r="G35" s="52">
        <f>800*'Manpower Schedule'!F23/100000</f>
        <v>0.08</v>
      </c>
      <c r="H35" s="52">
        <f>800*'Manpower Schedule'!G23/100000</f>
        <v>8.7999999999999995E-2</v>
      </c>
      <c r="I35" s="52">
        <f>800*'Manpower Schedule'!H23/100000</f>
        <v>9.6000000000000002E-2</v>
      </c>
      <c r="J35" s="52">
        <f>800*'Manpower Schedule'!I23/100000</f>
        <v>9.6000000000000002E-2</v>
      </c>
      <c r="K35" s="52">
        <f>800*'Manpower Schedule'!J23/100000</f>
        <v>9.6000000000000002E-2</v>
      </c>
      <c r="L35" s="52">
        <f>800*'Manpower Schedule'!K23/100000</f>
        <v>9.6000000000000002E-2</v>
      </c>
      <c r="M35"/>
      <c r="O35" s="295"/>
      <c r="P35" s="68"/>
      <c r="Q35" s="68"/>
    </row>
    <row r="36" spans="1:17" ht="26.25" x14ac:dyDescent="0.25">
      <c r="A36" s="51" t="s">
        <v>167</v>
      </c>
      <c r="B36" s="67" t="s">
        <v>603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/>
      <c r="O36" s="295"/>
      <c r="P36" s="68"/>
      <c r="Q36" s="68"/>
    </row>
    <row r="37" spans="1:17" ht="27.75" customHeight="1" x14ac:dyDescent="0.25">
      <c r="A37" s="54" t="s">
        <v>168</v>
      </c>
      <c r="B37" s="67" t="s">
        <v>153</v>
      </c>
      <c r="C37" s="52">
        <f>500*'Output Schedule'!B17/100000</f>
        <v>2</v>
      </c>
      <c r="D37" s="52">
        <f>500*'Output Schedule'!C17/100000</f>
        <v>2.2000000000000002</v>
      </c>
      <c r="E37" s="52">
        <f>500*'Output Schedule'!D17/100000</f>
        <v>2.4000000000000004</v>
      </c>
      <c r="F37" s="52">
        <f>500*'Output Schedule'!E17/100000</f>
        <v>2.6000000000000005</v>
      </c>
      <c r="G37" s="52">
        <f>500*'Output Schedule'!F17/100000</f>
        <v>2.8000000000000007</v>
      </c>
      <c r="H37" s="52">
        <f>500*'Output Schedule'!G17/100000</f>
        <v>3.0000000000000013</v>
      </c>
      <c r="I37" s="52">
        <f>500*'Output Schedule'!H17/100000</f>
        <v>3.2000000000000011</v>
      </c>
      <c r="J37" s="52">
        <f>500*'Output Schedule'!I17/100000</f>
        <v>3.4000000000000012</v>
      </c>
      <c r="K37" s="52">
        <f>500*'Output Schedule'!J17/100000</f>
        <v>3.600000000000001</v>
      </c>
      <c r="L37" s="52">
        <f>500*'Output Schedule'!K17/100000</f>
        <v>3.8000000000000016</v>
      </c>
      <c r="M37"/>
      <c r="O37" s="295"/>
      <c r="P37" s="68"/>
      <c r="Q37" s="68"/>
    </row>
    <row r="38" spans="1:17" ht="15" x14ac:dyDescent="0.25">
      <c r="A38" s="51" t="s">
        <v>154</v>
      </c>
      <c r="B38" s="69" t="s">
        <v>110</v>
      </c>
      <c r="C38" s="52">
        <f>300*'Output Schedule'!B37/100000</f>
        <v>0.378</v>
      </c>
      <c r="D38" s="52">
        <f>300*'Output Schedule'!C37/100000</f>
        <v>0.41399999999999998</v>
      </c>
      <c r="E38" s="52">
        <f>300*'Output Schedule'!D37/100000</f>
        <v>0.45</v>
      </c>
      <c r="F38" s="52">
        <f>300*'Output Schedule'!E37/100000</f>
        <v>0.48599999999999999</v>
      </c>
      <c r="G38" s="52">
        <f>300*'Output Schedule'!F37/100000</f>
        <v>0.52800000000000002</v>
      </c>
      <c r="H38" s="52">
        <f>300*'Output Schedule'!G37/100000</f>
        <v>0.56399999999999995</v>
      </c>
      <c r="I38" s="52">
        <f>300*'Output Schedule'!H37/100000</f>
        <v>0.6</v>
      </c>
      <c r="J38" s="52">
        <f>300*'Output Schedule'!I37/100000</f>
        <v>0.63600000000000001</v>
      </c>
      <c r="K38" s="52">
        <f>300*'Output Schedule'!J37/100000</f>
        <v>0.67800000000000005</v>
      </c>
      <c r="L38" s="52">
        <f>300*'Output Schedule'!K37/100000</f>
        <v>0.71399999999999997</v>
      </c>
      <c r="M38"/>
      <c r="O38" s="295"/>
      <c r="P38" s="68"/>
      <c r="Q38" s="68"/>
    </row>
    <row r="39" spans="1:17" ht="15" x14ac:dyDescent="0.25">
      <c r="A39" s="51" t="s">
        <v>155</v>
      </c>
      <c r="B39" s="69" t="s">
        <v>153</v>
      </c>
      <c r="C39" s="52">
        <f>500*('Sales Schedule'!C2+'Sales Schedule'!C6+'Sales Schedule'!C10)/100000</f>
        <v>1.73</v>
      </c>
      <c r="D39" s="52">
        <f>500*('Sales Schedule'!D2+'Sales Schedule'!D6+'Sales Schedule'!D10)/100000</f>
        <v>1.96</v>
      </c>
      <c r="E39" s="52">
        <f>500*('Sales Schedule'!E2+'Sales Schedule'!E6+'Sales Schedule'!E10)/100000</f>
        <v>2.16</v>
      </c>
      <c r="F39" s="52">
        <f>500*('Sales Schedule'!F2+'Sales Schedule'!F6+'Sales Schedule'!F10)/100000</f>
        <v>2.3250000000000002</v>
      </c>
      <c r="G39" s="52">
        <f>500*('Sales Schedule'!G2+'Sales Schedule'!G6+'Sales Schedule'!G10)/100000</f>
        <v>2.5150000000000001</v>
      </c>
      <c r="H39" s="52">
        <f>500*('Sales Schedule'!H2+'Sales Schedule'!H6+'Sales Schedule'!H10)/100000</f>
        <v>2.6949999999999998</v>
      </c>
      <c r="I39" s="52">
        <f>500*('Sales Schedule'!I2+'Sales Schedule'!I6+'Sales Schedule'!I10)/100000</f>
        <v>2.8650000000000002</v>
      </c>
      <c r="J39" s="52">
        <f>500*('Sales Schedule'!J2+'Sales Schedule'!J6+'Sales Schedule'!J10)/100000</f>
        <v>3.0550000000000002</v>
      </c>
      <c r="K39" s="52">
        <f>500*('Sales Schedule'!K2+'Sales Schedule'!K6+'Sales Schedule'!K10)/100000</f>
        <v>3.2349999999999999</v>
      </c>
      <c r="L39" s="52">
        <f>500*('Sales Schedule'!L2+'Sales Schedule'!L6+'Sales Schedule'!L10)/100000</f>
        <v>3.4049999999999998</v>
      </c>
      <c r="M39"/>
      <c r="O39" s="68"/>
      <c r="P39" s="68"/>
      <c r="Q39" s="68"/>
    </row>
    <row r="40" spans="1:17" ht="15" x14ac:dyDescent="0.25">
      <c r="A40" s="51" t="s">
        <v>156</v>
      </c>
      <c r="B40" s="69" t="s">
        <v>656</v>
      </c>
      <c r="C40" s="52">
        <f>500*'Output Schedule'!B37/100000</f>
        <v>0.63</v>
      </c>
      <c r="D40" s="52">
        <f>500*'Output Schedule'!C37/100000</f>
        <v>0.69</v>
      </c>
      <c r="E40" s="52">
        <f>500*'Output Schedule'!D37/100000</f>
        <v>0.75</v>
      </c>
      <c r="F40" s="52">
        <f>500*'Output Schedule'!E37/100000</f>
        <v>0.81</v>
      </c>
      <c r="G40" s="52">
        <f>500*'Output Schedule'!F37/100000</f>
        <v>0.88</v>
      </c>
      <c r="H40" s="52">
        <f>500*'Output Schedule'!G37/100000</f>
        <v>0.94</v>
      </c>
      <c r="I40" s="52">
        <f>500*'Output Schedule'!H37/100000</f>
        <v>1</v>
      </c>
      <c r="J40" s="52">
        <f>500*'Output Schedule'!I37/100000</f>
        <v>1.06</v>
      </c>
      <c r="K40" s="52">
        <f>500*'Output Schedule'!J37/100000</f>
        <v>1.1299999999999999</v>
      </c>
      <c r="L40" s="52">
        <f>500*'Output Schedule'!K37/100000</f>
        <v>1.19</v>
      </c>
      <c r="M40"/>
      <c r="O40" s="68"/>
      <c r="P40" s="68"/>
      <c r="Q40" s="68"/>
    </row>
    <row r="41" spans="1:17" ht="15" x14ac:dyDescent="0.25">
      <c r="A41" s="51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/>
      <c r="O41" s="68"/>
      <c r="P41" s="68"/>
      <c r="Q41" s="68"/>
    </row>
    <row r="42" spans="1:17" x14ac:dyDescent="0.2">
      <c r="A42" s="62" t="s">
        <v>157</v>
      </c>
      <c r="B42" s="62"/>
      <c r="C42" s="66">
        <f>SUM(C30:C41)</f>
        <v>16.780999999999999</v>
      </c>
      <c r="D42" s="66">
        <f t="shared" ref="D42:L42" si="31">SUM(D30:D41)</f>
        <v>18.879000000000005</v>
      </c>
      <c r="E42" s="66">
        <f t="shared" si="31"/>
        <v>21.018999999999998</v>
      </c>
      <c r="F42" s="66">
        <f t="shared" si="31"/>
        <v>23.196000000000002</v>
      </c>
      <c r="G42" s="66">
        <f t="shared" si="31"/>
        <v>25.675000000000001</v>
      </c>
      <c r="H42" s="66">
        <f t="shared" si="31"/>
        <v>28.017000000000007</v>
      </c>
      <c r="I42" s="66">
        <f t="shared" si="31"/>
        <v>30.421000000000006</v>
      </c>
      <c r="J42" s="66">
        <f t="shared" si="31"/>
        <v>32.273000000000003</v>
      </c>
      <c r="K42" s="66">
        <f t="shared" si="31"/>
        <v>34.332000000000008</v>
      </c>
      <c r="L42" s="66">
        <f t="shared" si="31"/>
        <v>36.163999999999994</v>
      </c>
      <c r="O42" s="68"/>
      <c r="P42" s="68"/>
      <c r="Q42" s="68"/>
    </row>
    <row r="43" spans="1:17" x14ac:dyDescent="0.2">
      <c r="O43" s="68"/>
      <c r="P43" s="68"/>
      <c r="Q43" s="68"/>
    </row>
    <row r="44" spans="1:17" x14ac:dyDescent="0.2">
      <c r="O44" s="68"/>
      <c r="P44" s="68"/>
      <c r="Q44" s="68"/>
    </row>
    <row r="45" spans="1:17" x14ac:dyDescent="0.2">
      <c r="O45" s="68"/>
      <c r="P45" s="68"/>
      <c r="Q45" s="68"/>
    </row>
    <row r="46" spans="1:17" x14ac:dyDescent="0.2">
      <c r="M46" s="70"/>
      <c r="O46" s="68"/>
      <c r="P46" s="68"/>
      <c r="Q46" s="68"/>
    </row>
    <row r="47" spans="1:17" x14ac:dyDescent="0.2">
      <c r="O47" s="68"/>
      <c r="P47" s="68"/>
      <c r="Q47" s="68"/>
    </row>
    <row r="48" spans="1:17" x14ac:dyDescent="0.2">
      <c r="O48" s="68"/>
      <c r="P48" s="68"/>
      <c r="Q48" s="68"/>
    </row>
    <row r="49" spans="15:17" x14ac:dyDescent="0.2">
      <c r="O49" s="68"/>
      <c r="P49" s="68"/>
      <c r="Q49" s="68"/>
    </row>
    <row r="50" spans="15:17" x14ac:dyDescent="0.2">
      <c r="O50" s="68"/>
      <c r="P50" s="68"/>
      <c r="Q50" s="68"/>
    </row>
    <row r="51" spans="15:17" x14ac:dyDescent="0.2">
      <c r="O51" s="68"/>
      <c r="P51" s="68"/>
      <c r="Q51" s="68"/>
    </row>
    <row r="52" spans="15:17" x14ac:dyDescent="0.2">
      <c r="O52" s="68"/>
      <c r="P52" s="68"/>
      <c r="Q52" s="68"/>
    </row>
    <row r="53" spans="15:17" x14ac:dyDescent="0.2">
      <c r="O53" s="68"/>
      <c r="P53" s="68"/>
      <c r="Q53" s="68"/>
    </row>
    <row r="54" spans="15:17" x14ac:dyDescent="0.2">
      <c r="O54" s="68"/>
      <c r="P54" s="68"/>
      <c r="Q54" s="68"/>
    </row>
    <row r="55" spans="15:17" x14ac:dyDescent="0.2">
      <c r="O55" s="68"/>
      <c r="P55" s="68"/>
      <c r="Q55" s="68"/>
    </row>
    <row r="56" spans="15:17" x14ac:dyDescent="0.2">
      <c r="O56" s="68"/>
      <c r="P56" s="68"/>
      <c r="Q56" s="68"/>
    </row>
    <row r="57" spans="15:17" x14ac:dyDescent="0.2">
      <c r="O57" s="68"/>
      <c r="P57" s="68"/>
      <c r="Q57" s="68"/>
    </row>
    <row r="58" spans="15:17" x14ac:dyDescent="0.2">
      <c r="O58" s="68"/>
      <c r="P58" s="68"/>
      <c r="Q58" s="68"/>
    </row>
    <row r="59" spans="15:17" s="70" customFormat="1" x14ac:dyDescent="0.2">
      <c r="O59" s="68"/>
      <c r="P59" s="68"/>
      <c r="Q59" s="68"/>
    </row>
    <row r="60" spans="15:17" x14ac:dyDescent="0.2">
      <c r="O60" s="68"/>
      <c r="P60" s="68"/>
      <c r="Q60" s="68"/>
    </row>
  </sheetData>
  <mergeCells count="4">
    <mergeCell ref="N2:Q2"/>
    <mergeCell ref="N6:Q6"/>
    <mergeCell ref="A4:L4"/>
    <mergeCell ref="A29:L29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18" t="s">
        <v>431</v>
      </c>
      <c r="B1" s="318"/>
      <c r="C1" s="318"/>
      <c r="D1" s="318"/>
      <c r="E1" s="318"/>
      <c r="F1" s="318"/>
      <c r="G1" s="318"/>
      <c r="H1" s="318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143</v>
      </c>
      <c r="B4" s="72">
        <f>'P&amp;L'!B25</f>
        <v>16.780999999999999</v>
      </c>
      <c r="C4" s="72">
        <f>'P&amp;L'!C25</f>
        <v>18.879000000000005</v>
      </c>
      <c r="D4" s="72">
        <f>'P&amp;L'!D25</f>
        <v>21.018999999999998</v>
      </c>
      <c r="E4" s="72">
        <f>'P&amp;L'!E25</f>
        <v>23.196000000000002</v>
      </c>
      <c r="F4" s="72">
        <f>'P&amp;L'!F25</f>
        <v>25.675000000000001</v>
      </c>
      <c r="G4" s="72">
        <f>'P&amp;L'!G25</f>
        <v>28.017000000000007</v>
      </c>
      <c r="H4" s="72">
        <f>'P&amp;L'!H25</f>
        <v>30.421000000000006</v>
      </c>
    </row>
    <row r="5" spans="1:8" x14ac:dyDescent="0.25">
      <c r="A5" s="36" t="s">
        <v>113</v>
      </c>
      <c r="B5" s="73">
        <f>'P&amp;L'!B23</f>
        <v>24.1203</v>
      </c>
      <c r="C5" s="73">
        <f>'P&amp;L'!C23</f>
        <v>25.326315000000001</v>
      </c>
      <c r="D5" s="73">
        <f>'P&amp;L'!D23</f>
        <v>26.592630750000005</v>
      </c>
      <c r="E5" s="73">
        <f>'P&amp;L'!E23</f>
        <v>27.922262287500011</v>
      </c>
      <c r="F5" s="73">
        <f>'P&amp;L'!F23</f>
        <v>29.318375401875002</v>
      </c>
      <c r="G5" s="73">
        <f>'P&amp;L'!G23</f>
        <v>30.78429417196876</v>
      </c>
      <c r="H5" s="73">
        <f>'P&amp;L'!H23</f>
        <v>32.323508880567196</v>
      </c>
    </row>
    <row r="6" spans="1:8" hidden="1" x14ac:dyDescent="0.25">
      <c r="A6" s="36" t="s">
        <v>433</v>
      </c>
      <c r="B6" s="73">
        <f>'Purchase Schedule'!B6</f>
        <v>91.74</v>
      </c>
      <c r="C6" s="73">
        <f>'Purchase Schedule'!C6</f>
        <v>101.871</v>
      </c>
      <c r="D6" s="73">
        <f>'Purchase Schedule'!D6</f>
        <v>116.9332</v>
      </c>
      <c r="E6" s="73">
        <f>'Purchase Schedule'!E6</f>
        <v>132.95339999999999</v>
      </c>
      <c r="F6" s="73">
        <f>'Purchase Schedule'!F6</f>
        <v>150.01140000000001</v>
      </c>
      <c r="G6" s="73">
        <f>'Purchase Schedule'!G6</f>
        <v>169.04159999999999</v>
      </c>
      <c r="H6" s="73">
        <f>'Purchase Schedule'!H6</f>
        <v>189.26159999999999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432</v>
      </c>
      <c r="B8" s="44">
        <f>(B4+B5)/12</f>
        <v>3.4084416666666666</v>
      </c>
      <c r="C8" s="44">
        <f t="shared" ref="C8:H8" si="0">(C4+C5)/12</f>
        <v>3.6837762500000006</v>
      </c>
      <c r="D8" s="44">
        <f t="shared" si="0"/>
        <v>3.9676358958333338</v>
      </c>
      <c r="E8" s="44">
        <f t="shared" si="0"/>
        <v>4.2598551906250011</v>
      </c>
      <c r="F8" s="44">
        <f t="shared" si="0"/>
        <v>4.5827812834895836</v>
      </c>
      <c r="G8" s="44">
        <f t="shared" si="0"/>
        <v>4.9001078476640636</v>
      </c>
      <c r="H8" s="44">
        <f t="shared" si="0"/>
        <v>5.2287090733806005</v>
      </c>
    </row>
    <row r="9" spans="1:8" x14ac:dyDescent="0.25">
      <c r="A9" s="36" t="s">
        <v>462</v>
      </c>
      <c r="B9" s="44">
        <f>'CS-RM'!B16+'CS-FG'!C52</f>
        <v>8.2100000000000009</v>
      </c>
      <c r="C9" s="44">
        <f>'CS-RM'!C16+'CS-FG'!D52</f>
        <v>10.038</v>
      </c>
      <c r="D9" s="44">
        <f>'CS-RM'!D16+'CS-FG'!E52</f>
        <v>11.224399999999999</v>
      </c>
      <c r="E9" s="44">
        <f>'CS-RM'!E16+'CS-FG'!F52</f>
        <v>13.0816</v>
      </c>
      <c r="F9" s="44">
        <f>'CS-RM'!F16+'CS-FG'!G52</f>
        <v>14.5486</v>
      </c>
      <c r="G9" s="44">
        <f>'CS-RM'!G16+'CS-FG'!H52</f>
        <v>16.411999999999999</v>
      </c>
      <c r="H9" s="44">
        <f>'CS-RM'!H16+'CS-FG'!I52</f>
        <v>18.7318</v>
      </c>
    </row>
    <row r="10" spans="1:8" x14ac:dyDescent="0.25">
      <c r="A10" s="36" t="s">
        <v>434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460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6">
        <f>SUM(B8:B11)</f>
        <v>11.618441666666667</v>
      </c>
      <c r="C12" s="176">
        <f t="shared" ref="C12:H12" si="1">SUM(C8:C11)</f>
        <v>13.721776250000001</v>
      </c>
      <c r="D12" s="176">
        <f t="shared" si="1"/>
        <v>15.192035895833333</v>
      </c>
      <c r="E12" s="176">
        <f t="shared" si="1"/>
        <v>17.341455190625002</v>
      </c>
      <c r="F12" s="176">
        <f t="shared" si="1"/>
        <v>19.131381283489585</v>
      </c>
      <c r="G12" s="176">
        <f t="shared" si="1"/>
        <v>21.312107847664063</v>
      </c>
      <c r="H12" s="176">
        <f t="shared" si="1"/>
        <v>23.960509073380599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169</v>
      </c>
      <c r="B14" s="42">
        <f>B12*0.25</f>
        <v>2.9046104166666669</v>
      </c>
      <c r="C14" s="42">
        <f t="shared" ref="C14:H14" si="2">C12*0.25</f>
        <v>3.4304440625000003</v>
      </c>
      <c r="D14" s="42">
        <f t="shared" si="2"/>
        <v>3.7980089739583334</v>
      </c>
      <c r="E14" s="42">
        <f t="shared" si="2"/>
        <v>4.3353637976562505</v>
      </c>
      <c r="F14" s="42">
        <f t="shared" si="2"/>
        <v>4.7828453208723962</v>
      </c>
      <c r="G14" s="42">
        <f t="shared" si="2"/>
        <v>5.3280269619160157</v>
      </c>
      <c r="H14" s="42">
        <f t="shared" si="2"/>
        <v>5.9901272683451499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170</v>
      </c>
      <c r="B16" s="44">
        <f>B12-B14</f>
        <v>8.7138312500000001</v>
      </c>
      <c r="C16" s="44">
        <f t="shared" ref="C16:H16" si="3">C12-C14</f>
        <v>10.2913321875</v>
      </c>
      <c r="D16" s="44">
        <f t="shared" si="3"/>
        <v>11.394026921875</v>
      </c>
      <c r="E16" s="44">
        <f t="shared" si="3"/>
        <v>13.006091392968752</v>
      </c>
      <c r="F16" s="44">
        <f t="shared" si="3"/>
        <v>14.348535962617188</v>
      </c>
      <c r="G16" s="44">
        <f t="shared" si="3"/>
        <v>15.984080885748046</v>
      </c>
      <c r="H16" s="44">
        <f t="shared" si="3"/>
        <v>17.970381805035451</v>
      </c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60" zoomScaleNormal="100" workbookViewId="0">
      <selection activeCell="B3" sqref="B3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5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499</v>
      </c>
      <c r="K1" s="8" t="s">
        <v>500</v>
      </c>
      <c r="L1" s="8" t="s">
        <v>501</v>
      </c>
    </row>
    <row r="2" spans="1:12" x14ac:dyDescent="0.25">
      <c r="A2" s="174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4" t="s">
        <v>596</v>
      </c>
      <c r="B3" s="42">
        <f>+'Capital Cost'!C36</f>
        <v>11.021000000000001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4" t="s">
        <v>597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4" t="s">
        <v>595</v>
      </c>
      <c r="B5" s="42"/>
      <c r="C5" s="42">
        <f>'P&amp;L'!B27</f>
        <v>1.1021000000000001</v>
      </c>
      <c r="D5" s="42">
        <f>'P&amp;L'!C27</f>
        <v>1.1021000000000001</v>
      </c>
      <c r="E5" s="42">
        <f>'P&amp;L'!D27</f>
        <v>1.1021000000000001</v>
      </c>
      <c r="F5" s="42">
        <f>'P&amp;L'!E27</f>
        <v>1.1021000000000001</v>
      </c>
      <c r="G5" s="42">
        <f>'P&amp;L'!F27</f>
        <v>1.1021000000000001</v>
      </c>
      <c r="H5" s="9">
        <f>'P&amp;L'!G27</f>
        <v>1.1021000000000001</v>
      </c>
      <c r="I5" s="9">
        <f>'P&amp;L'!H27</f>
        <v>1.1021000000000001</v>
      </c>
      <c r="J5" s="9">
        <f>'P&amp;L'!I27</f>
        <v>1.1021000000000001</v>
      </c>
      <c r="K5" s="9">
        <f>'P&amp;L'!J27</f>
        <v>1.1021000000000001</v>
      </c>
      <c r="L5" s="9">
        <f>'P&amp;L'!K27</f>
        <v>1.1021000000000001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zoomScale="60" zoomScaleNormal="100" workbookViewId="0">
      <selection activeCell="C13" sqref="C13"/>
    </sheetView>
  </sheetViews>
  <sheetFormatPr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7.85546875" style="1" bestFit="1" customWidth="1"/>
    <col min="10" max="16384" width="9.140625" style="1"/>
  </cols>
  <sheetData>
    <row r="2" spans="1:12" x14ac:dyDescent="0.25">
      <c r="A2" s="15" t="s">
        <v>675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499</v>
      </c>
      <c r="K2" s="15" t="s">
        <v>500</v>
      </c>
      <c r="L2" s="15" t="s">
        <v>501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3">
        <v>1</v>
      </c>
      <c r="B4" s="36" t="s">
        <v>395</v>
      </c>
      <c r="C4" s="72">
        <f>BS!C36</f>
        <v>12.455833333333333</v>
      </c>
      <c r="D4" s="72">
        <f>BS!D36</f>
        <v>14.755675000000002</v>
      </c>
      <c r="E4" s="72">
        <f>BS!E36</f>
        <v>17.043641666666669</v>
      </c>
      <c r="F4" s="72">
        <f>BS!F36</f>
        <v>19.405899999999999</v>
      </c>
      <c r="G4" s="72">
        <f>BS!G36</f>
        <v>22.032991666666671</v>
      </c>
      <c r="H4" s="72">
        <f>BS!H36</f>
        <v>24.848450000000003</v>
      </c>
      <c r="I4" s="72">
        <f>BS!I36</f>
        <v>27.870775000000005</v>
      </c>
      <c r="J4" s="72">
        <f>BS!J36</f>
        <v>31.191833333333332</v>
      </c>
      <c r="K4" s="72">
        <f>BS!K36</f>
        <v>34.789475000000003</v>
      </c>
      <c r="L4" s="72">
        <f>BS!L36</f>
        <v>38.583441666666666</v>
      </c>
    </row>
    <row r="5" spans="1:12" x14ac:dyDescent="0.25">
      <c r="A5" s="173">
        <v>2</v>
      </c>
      <c r="B5" s="36" t="s">
        <v>396</v>
      </c>
      <c r="C5" s="72">
        <f>BS!C40+BS!C41</f>
        <v>8.2100000000000009</v>
      </c>
      <c r="D5" s="72">
        <f>BS!D40+BS!D41</f>
        <v>10.038</v>
      </c>
      <c r="E5" s="72">
        <f>BS!E40+BS!E41</f>
        <v>11.224399999999999</v>
      </c>
      <c r="F5" s="72">
        <f>BS!F40+BS!F41</f>
        <v>13.0816</v>
      </c>
      <c r="G5" s="72">
        <f>BS!G40+BS!G41</f>
        <v>14.5486</v>
      </c>
      <c r="H5" s="72">
        <f>BS!H40+BS!H41</f>
        <v>16.411999999999999</v>
      </c>
      <c r="I5" s="72">
        <f>BS!I40+BS!I41</f>
        <v>18.7318</v>
      </c>
      <c r="J5" s="72">
        <f>BS!J40+BS!J41</f>
        <v>20.609200000000001</v>
      </c>
      <c r="K5" s="72">
        <f>BS!K40+BS!K41</f>
        <v>22.956</v>
      </c>
      <c r="L5" s="72">
        <f>BS!L40+BS!L41</f>
        <v>26.121399999999998</v>
      </c>
    </row>
    <row r="6" spans="1:12" x14ac:dyDescent="0.25">
      <c r="A6" s="173">
        <v>3</v>
      </c>
      <c r="B6" s="36" t="s">
        <v>397</v>
      </c>
      <c r="C6" s="73">
        <f>BS!C22</f>
        <v>11.053441666666666</v>
      </c>
      <c r="D6" s="73">
        <f>BS!D22</f>
        <v>12.173026250000001</v>
      </c>
      <c r="E6" s="73">
        <f>BS!E22</f>
        <v>13.712069229166667</v>
      </c>
      <c r="F6" s="73">
        <f>BS!F22</f>
        <v>15.339305190625</v>
      </c>
      <c r="G6" s="73">
        <f>BS!G22</f>
        <v>17.083731283489584</v>
      </c>
      <c r="H6" s="73">
        <f>BS!H22</f>
        <v>18.98690784766406</v>
      </c>
      <c r="I6" s="73">
        <f>BS!I22</f>
        <v>21.000509073380599</v>
      </c>
      <c r="J6" s="73">
        <f>BS!J22</f>
        <v>23.081848693716296</v>
      </c>
      <c r="K6" s="73">
        <f>BS!K22</f>
        <v>25.384889045068778</v>
      </c>
      <c r="L6" s="73">
        <f>BS!L22</f>
        <v>27.804425163988885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4"/>
      <c r="B8" s="36" t="s">
        <v>429</v>
      </c>
      <c r="C8" s="44">
        <f t="shared" ref="C8:L8" si="0">C4+C5-C6</f>
        <v>9.6123916666666656</v>
      </c>
      <c r="D8" s="44">
        <f t="shared" si="0"/>
        <v>12.620648749999999</v>
      </c>
      <c r="E8" s="44">
        <f t="shared" si="0"/>
        <v>14.555972437500001</v>
      </c>
      <c r="F8" s="44">
        <f t="shared" si="0"/>
        <v>17.148194809374999</v>
      </c>
      <c r="G8" s="44">
        <f t="shared" si="0"/>
        <v>19.497860383177084</v>
      </c>
      <c r="H8" s="44">
        <f t="shared" si="0"/>
        <v>22.273542152335946</v>
      </c>
      <c r="I8" s="44">
        <f t="shared" si="0"/>
        <v>25.602065926619403</v>
      </c>
      <c r="J8" s="44">
        <f t="shared" si="0"/>
        <v>28.71918463961704</v>
      </c>
      <c r="K8" s="44">
        <f t="shared" si="0"/>
        <v>32.360585954931224</v>
      </c>
      <c r="L8" s="44">
        <f t="shared" si="0"/>
        <v>36.900416502677786</v>
      </c>
    </row>
    <row r="9" spans="1:12" hidden="1" x14ac:dyDescent="0.25">
      <c r="A9" s="174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4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5"/>
      <c r="B11" s="10" t="s">
        <v>430</v>
      </c>
      <c r="C11" s="19">
        <f>C4+C5-C6</f>
        <v>9.6123916666666656</v>
      </c>
      <c r="D11" s="19">
        <f t="shared" ref="D11:L11" si="1">D4+D5-D6</f>
        <v>12.620648749999999</v>
      </c>
      <c r="E11" s="19">
        <f t="shared" si="1"/>
        <v>14.555972437500001</v>
      </c>
      <c r="F11" s="19">
        <f t="shared" si="1"/>
        <v>17.148194809374999</v>
      </c>
      <c r="G11" s="19">
        <f t="shared" si="1"/>
        <v>19.497860383177084</v>
      </c>
      <c r="H11" s="19">
        <f t="shared" si="1"/>
        <v>22.273542152335946</v>
      </c>
      <c r="I11" s="19">
        <f t="shared" si="1"/>
        <v>25.602065926619403</v>
      </c>
      <c r="J11" s="19">
        <f t="shared" si="1"/>
        <v>28.71918463961704</v>
      </c>
      <c r="K11" s="19">
        <f t="shared" si="1"/>
        <v>32.360585954931224</v>
      </c>
      <c r="L11" s="19">
        <f t="shared" si="1"/>
        <v>36.900416502677786</v>
      </c>
    </row>
    <row r="12" spans="1:12" x14ac:dyDescent="0.25">
      <c r="A12" s="174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4"/>
      <c r="B13" s="36" t="s">
        <v>169</v>
      </c>
      <c r="C13" s="44">
        <f>C11*0.25</f>
        <v>2.4030979166666664</v>
      </c>
      <c r="D13" s="44">
        <f t="shared" ref="D13:L13" si="2">D11*0.25</f>
        <v>3.1551621874999998</v>
      </c>
      <c r="E13" s="44">
        <f t="shared" si="2"/>
        <v>3.6389931093750003</v>
      </c>
      <c r="F13" s="44">
        <f t="shared" si="2"/>
        <v>4.2870487023437498</v>
      </c>
      <c r="G13" s="44">
        <f t="shared" si="2"/>
        <v>4.874465095794271</v>
      </c>
      <c r="H13" s="44">
        <f t="shared" si="2"/>
        <v>5.5683855380839864</v>
      </c>
      <c r="I13" s="44">
        <f t="shared" si="2"/>
        <v>6.4005164816548508</v>
      </c>
      <c r="J13" s="44">
        <f t="shared" si="2"/>
        <v>7.1797961599042601</v>
      </c>
      <c r="K13" s="44">
        <f t="shared" si="2"/>
        <v>8.0901464887328061</v>
      </c>
      <c r="L13" s="44">
        <f t="shared" si="2"/>
        <v>9.2251041256694464</v>
      </c>
    </row>
    <row r="14" spans="1:12" x14ac:dyDescent="0.25">
      <c r="A14" s="174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4"/>
      <c r="B15" s="269" t="s">
        <v>602</v>
      </c>
      <c r="C15" s="44">
        <f>C11-C13</f>
        <v>7.2092937499999987</v>
      </c>
      <c r="D15" s="44">
        <f t="shared" ref="D15:L15" si="3">D11-D13</f>
        <v>9.4654865624999989</v>
      </c>
      <c r="E15" s="44">
        <f t="shared" si="3"/>
        <v>10.916979328125</v>
      </c>
      <c r="F15" s="44">
        <f t="shared" si="3"/>
        <v>12.861146107031249</v>
      </c>
      <c r="G15" s="44">
        <f t="shared" si="3"/>
        <v>14.623395287382813</v>
      </c>
      <c r="H15" s="44">
        <f t="shared" si="3"/>
        <v>16.705156614251958</v>
      </c>
      <c r="I15" s="44">
        <f t="shared" si="3"/>
        <v>19.201549444964552</v>
      </c>
      <c r="J15" s="44">
        <f t="shared" si="3"/>
        <v>21.53938847971278</v>
      </c>
      <c r="K15" s="44">
        <f t="shared" si="3"/>
        <v>24.270439466198418</v>
      </c>
      <c r="L15" s="44">
        <f t="shared" si="3"/>
        <v>27.675312377008339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36" zoomScale="60" zoomScaleNormal="100" workbookViewId="0">
      <selection activeCell="A3" sqref="A3:K36"/>
    </sheetView>
  </sheetViews>
  <sheetFormatPr defaultRowHeight="15" x14ac:dyDescent="0.25"/>
  <cols>
    <col min="1" max="1" width="47.5703125" style="1" bestFit="1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19" t="s">
        <v>171</v>
      </c>
      <c r="B2" s="320"/>
      <c r="C2" s="320"/>
      <c r="D2" s="320"/>
      <c r="E2" s="320"/>
      <c r="F2" s="320"/>
      <c r="G2" s="320"/>
      <c r="H2" s="305"/>
      <c r="I2" s="305"/>
      <c r="J2" s="305"/>
      <c r="K2" s="305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499</v>
      </c>
      <c r="J3" s="74" t="s">
        <v>500</v>
      </c>
      <c r="K3" s="74" t="s">
        <v>501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172</v>
      </c>
      <c r="B5" s="45">
        <f>'Sales Schedule'!C18</f>
        <v>109.69000000000001</v>
      </c>
      <c r="C5" s="45">
        <f>'Sales Schedule'!D18</f>
        <v>130.63050000000001</v>
      </c>
      <c r="D5" s="45">
        <f>'Sales Schedule'!E18</f>
        <v>150.75409999999999</v>
      </c>
      <c r="E5" s="45">
        <f>'Sales Schedule'!F18</f>
        <v>171.09479999999999</v>
      </c>
      <c r="F5" s="45">
        <f>'Sales Schedule'!G18</f>
        <v>193.74630000000002</v>
      </c>
      <c r="G5" s="45">
        <f>'Sales Schedule'!H18</f>
        <v>217.9434</v>
      </c>
      <c r="H5" s="45">
        <f>'Sales Schedule'!I18</f>
        <v>243.76769999999999</v>
      </c>
      <c r="I5" s="45">
        <f>'Sales Schedule'!J18</f>
        <v>272.27479999999997</v>
      </c>
      <c r="J5" s="45">
        <f>'Sales Schedule'!K18</f>
        <v>302.98649999999998</v>
      </c>
      <c r="K5" s="45">
        <f>'Sales Schedule'!L18</f>
        <v>335.13889999999998</v>
      </c>
    </row>
    <row r="6" spans="1:11" x14ac:dyDescent="0.25">
      <c r="A6" s="6" t="s">
        <v>669</v>
      </c>
      <c r="B6" s="45">
        <f>'Output Schedule'!B14</f>
        <v>36</v>
      </c>
      <c r="C6" s="45">
        <f>'Output Schedule'!C14</f>
        <v>41.580000000000005</v>
      </c>
      <c r="D6" s="45">
        <f>'Output Schedule'!D14</f>
        <v>47.649600000000007</v>
      </c>
      <c r="E6" s="45">
        <f>'Output Schedule'!E14</f>
        <v>54.194400000000009</v>
      </c>
      <c r="F6" s="45">
        <f>'Output Schedule'!F14</f>
        <v>61.286400000000008</v>
      </c>
      <c r="G6" s="45">
        <f>'Output Schedule'!G14</f>
        <v>68.958000000000013</v>
      </c>
      <c r="H6" s="45">
        <f>'Output Schedule'!H14</f>
        <v>77.241600000000034</v>
      </c>
      <c r="I6" s="45">
        <f>'Output Schedule'!I14</f>
        <v>86.169600000000017</v>
      </c>
      <c r="J6" s="45">
        <f>'Output Schedule'!J14</f>
        <v>95.774400000000043</v>
      </c>
      <c r="K6" s="45">
        <f>'Output Schedule'!K14</f>
        <v>106.15680000000003</v>
      </c>
    </row>
    <row r="7" spans="1:11" hidden="1" x14ac:dyDescent="0.25">
      <c r="A7" s="6" t="s">
        <v>428</v>
      </c>
      <c r="B7" s="45">
        <f>'Farm Implement Business'!G10</f>
        <v>0</v>
      </c>
      <c r="C7" s="45">
        <f>'Farm Implement Business'!H10</f>
        <v>0</v>
      </c>
      <c r="D7" s="45">
        <f>'Farm Implement Business'!I10</f>
        <v>0</v>
      </c>
      <c r="E7" s="45">
        <f>'Farm Implement Business'!J10</f>
        <v>0</v>
      </c>
      <c r="F7" s="45">
        <f>'Farm Implement Business'!K10</f>
        <v>0</v>
      </c>
      <c r="G7" s="45">
        <f>'Farm Implement Business'!L10</f>
        <v>0</v>
      </c>
      <c r="H7" s="45">
        <f>'Farm Implement Business'!M10</f>
        <v>0</v>
      </c>
      <c r="I7" s="19"/>
      <c r="J7" s="242"/>
      <c r="K7" s="6"/>
    </row>
    <row r="8" spans="1:11" x14ac:dyDescent="0.25">
      <c r="A8" s="6" t="s">
        <v>653</v>
      </c>
      <c r="B8" s="19">
        <f>+'weigh Bridge'!C14</f>
        <v>3.7800000000000002</v>
      </c>
      <c r="C8" s="19">
        <f>+'weigh Bridge'!D14</f>
        <v>4.8575999999999997</v>
      </c>
      <c r="D8" s="19">
        <f>+'weigh Bridge'!E14</f>
        <v>6.12</v>
      </c>
      <c r="E8" s="19">
        <f>+'weigh Bridge'!F14</f>
        <v>7.5815999999999999</v>
      </c>
      <c r="F8" s="19">
        <f>+'weigh Bridge'!G14</f>
        <v>9.3631999999999991</v>
      </c>
      <c r="G8" s="19">
        <f>+'weigh Bridge'!H14</f>
        <v>11.280000000000001</v>
      </c>
      <c r="H8" s="19">
        <f>+'weigh Bridge'!I14</f>
        <v>13.440000000000001</v>
      </c>
      <c r="I8" s="19">
        <f>+'weigh Bridge'!J14</f>
        <v>15.857600000000001</v>
      </c>
      <c r="J8" s="19">
        <f>+'weigh Bridge'!K14</f>
        <v>18.712800000000001</v>
      </c>
      <c r="K8" s="19">
        <f>+'weigh Bridge'!L14</f>
        <v>21.705599999999997</v>
      </c>
    </row>
    <row r="9" spans="1:11" x14ac:dyDescent="0.25">
      <c r="A9" s="75" t="s">
        <v>173</v>
      </c>
      <c r="B9" s="22">
        <f>SUM(B5:B8)</f>
        <v>149.47</v>
      </c>
      <c r="C9" s="22">
        <f t="shared" ref="C9:K9" si="0">SUM(C5:C8)</f>
        <v>177.06810000000002</v>
      </c>
      <c r="D9" s="22">
        <f t="shared" si="0"/>
        <v>204.52370000000002</v>
      </c>
      <c r="E9" s="22">
        <f t="shared" si="0"/>
        <v>232.8708</v>
      </c>
      <c r="F9" s="22">
        <f t="shared" si="0"/>
        <v>264.39590000000004</v>
      </c>
      <c r="G9" s="22">
        <f t="shared" si="0"/>
        <v>298.18140000000005</v>
      </c>
      <c r="H9" s="22">
        <f t="shared" si="0"/>
        <v>334.44930000000005</v>
      </c>
      <c r="I9" s="22">
        <f t="shared" si="0"/>
        <v>374.30199999999996</v>
      </c>
      <c r="J9" s="22">
        <f t="shared" si="0"/>
        <v>417.47370000000001</v>
      </c>
      <c r="K9" s="22">
        <f t="shared" si="0"/>
        <v>463.00130000000001</v>
      </c>
    </row>
    <row r="10" spans="1:11" x14ac:dyDescent="0.25">
      <c r="A10" s="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76" t="s">
        <v>174</v>
      </c>
      <c r="B11" s="9">
        <f>'CS-FG'!C51</f>
        <v>0</v>
      </c>
      <c r="C11" s="9">
        <f>'CS-FG'!D51</f>
        <v>4.47</v>
      </c>
      <c r="D11" s="9">
        <f>'CS-FG'!E51</f>
        <v>5.88</v>
      </c>
      <c r="E11" s="9">
        <f>'CS-FG'!F51</f>
        <v>6.3723999999999998</v>
      </c>
      <c r="F11" s="9">
        <f>'CS-FG'!G51</f>
        <v>7.4782000000000002</v>
      </c>
      <c r="G11" s="9">
        <f>'CS-FG'!H51</f>
        <v>8.3984000000000005</v>
      </c>
      <c r="H11" s="9">
        <f>'CS-FG'!I51</f>
        <v>9.3920000000000012</v>
      </c>
      <c r="I11" s="9">
        <f>'CS-FG'!J51</f>
        <v>10.7722</v>
      </c>
      <c r="J11" s="9">
        <f>'CS-FG'!K51</f>
        <v>11.943199999999999</v>
      </c>
      <c r="K11" s="9">
        <f>'CS-FG'!L51</f>
        <v>13.206</v>
      </c>
    </row>
    <row r="12" spans="1:11" x14ac:dyDescent="0.25">
      <c r="A12" s="77" t="s">
        <v>175</v>
      </c>
      <c r="B12" s="9">
        <f>'CS-FG'!C52</f>
        <v>4.47</v>
      </c>
      <c r="C12" s="9">
        <f>'CS-FG'!D52</f>
        <v>5.88</v>
      </c>
      <c r="D12" s="9">
        <f>'CS-FG'!E52</f>
        <v>6.3723999999999998</v>
      </c>
      <c r="E12" s="9">
        <f>'CS-FG'!F52</f>
        <v>7.4782000000000002</v>
      </c>
      <c r="F12" s="9">
        <f>'CS-FG'!G52</f>
        <v>8.3984000000000005</v>
      </c>
      <c r="G12" s="9">
        <f>'CS-FG'!H52</f>
        <v>9.3920000000000012</v>
      </c>
      <c r="H12" s="9">
        <f>'CS-FG'!I52</f>
        <v>10.7722</v>
      </c>
      <c r="I12" s="9">
        <f>'CS-FG'!J52</f>
        <v>11.943199999999999</v>
      </c>
      <c r="J12" s="9">
        <f>'CS-FG'!K52</f>
        <v>13.206</v>
      </c>
      <c r="K12" s="9">
        <f>'CS-FG'!L52</f>
        <v>15.199799999999998</v>
      </c>
    </row>
    <row r="13" spans="1:11" x14ac:dyDescent="0.25">
      <c r="A13" s="77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78" t="s">
        <v>176</v>
      </c>
      <c r="B14" s="22">
        <f>B9+B12-B11</f>
        <v>153.94</v>
      </c>
      <c r="C14" s="22">
        <f t="shared" ref="C14:K14" si="1">C9+C12-C11</f>
        <v>178.47810000000001</v>
      </c>
      <c r="D14" s="22">
        <f t="shared" si="1"/>
        <v>205.01610000000002</v>
      </c>
      <c r="E14" s="22">
        <f t="shared" si="1"/>
        <v>233.97659999999999</v>
      </c>
      <c r="F14" s="22">
        <f t="shared" si="1"/>
        <v>265.31610000000001</v>
      </c>
      <c r="G14" s="22">
        <f t="shared" si="1"/>
        <v>299.17500000000007</v>
      </c>
      <c r="H14" s="22">
        <f t="shared" si="1"/>
        <v>335.82950000000005</v>
      </c>
      <c r="I14" s="22">
        <f t="shared" si="1"/>
        <v>375.47299999999996</v>
      </c>
      <c r="J14" s="22">
        <f t="shared" si="1"/>
        <v>418.73650000000004</v>
      </c>
      <c r="K14" s="22">
        <f t="shared" si="1"/>
        <v>464.99509999999998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177</v>
      </c>
      <c r="B16" s="19">
        <f>'Purchase Schedule'!B6</f>
        <v>91.74</v>
      </c>
      <c r="C16" s="19">
        <f>'Purchase Schedule'!C6</f>
        <v>101.871</v>
      </c>
      <c r="D16" s="19">
        <f>'Purchase Schedule'!D6</f>
        <v>116.9332</v>
      </c>
      <c r="E16" s="19">
        <f>'Purchase Schedule'!E6</f>
        <v>132.95339999999999</v>
      </c>
      <c r="F16" s="19">
        <f>'Purchase Schedule'!F6</f>
        <v>150.01140000000001</v>
      </c>
      <c r="G16" s="19">
        <f>'Purchase Schedule'!G6</f>
        <v>169.04159999999999</v>
      </c>
      <c r="H16" s="19">
        <f>'Purchase Schedule'!H6</f>
        <v>189.26159999999999</v>
      </c>
      <c r="I16" s="19">
        <f>'Purchase Schedule'!I6</f>
        <v>210.76949999999999</v>
      </c>
      <c r="J16" s="19">
        <f>'Purchase Schedule'!J6</f>
        <v>234.65</v>
      </c>
      <c r="K16" s="19">
        <f>'Purchase Schedule'!K6</f>
        <v>260.07060000000001</v>
      </c>
    </row>
    <row r="17" spans="1:11" x14ac:dyDescent="0.25">
      <c r="A17" s="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76" t="s">
        <v>178</v>
      </c>
      <c r="B18" s="9">
        <f>'CS-RM'!B15</f>
        <v>0</v>
      </c>
      <c r="C18" s="9">
        <f>'CS-RM'!C15</f>
        <v>3.74</v>
      </c>
      <c r="D18" s="9">
        <f>'CS-RM'!D15</f>
        <v>4.1580000000000004</v>
      </c>
      <c r="E18" s="9">
        <f>'CS-RM'!E15</f>
        <v>4.8520000000000003</v>
      </c>
      <c r="F18" s="9">
        <f>'CS-RM'!F15</f>
        <v>5.6033999999999997</v>
      </c>
      <c r="G18" s="9">
        <f>'CS-RM'!G15</f>
        <v>6.1501999999999999</v>
      </c>
      <c r="H18" s="9">
        <f>'CS-RM'!H15</f>
        <v>7.02</v>
      </c>
      <c r="I18" s="9">
        <f>'CS-RM'!I15</f>
        <v>7.9596</v>
      </c>
      <c r="J18" s="9">
        <f>'CS-RM'!J15</f>
        <v>8.6660000000000004</v>
      </c>
      <c r="K18" s="9">
        <f>'CS-RM'!K15</f>
        <v>9.75</v>
      </c>
    </row>
    <row r="19" spans="1:11" x14ac:dyDescent="0.25">
      <c r="A19" s="77" t="s">
        <v>179</v>
      </c>
      <c r="B19" s="9">
        <f>'CS-RM'!B16</f>
        <v>3.74</v>
      </c>
      <c r="C19" s="9">
        <f>'CS-RM'!C16</f>
        <v>4.1580000000000004</v>
      </c>
      <c r="D19" s="9">
        <f>'CS-RM'!D16</f>
        <v>4.8520000000000003</v>
      </c>
      <c r="E19" s="9">
        <f>'CS-RM'!E16</f>
        <v>5.6033999999999997</v>
      </c>
      <c r="F19" s="9">
        <f>'CS-RM'!F16</f>
        <v>6.1501999999999999</v>
      </c>
      <c r="G19" s="9">
        <f>'CS-RM'!G16</f>
        <v>7.02</v>
      </c>
      <c r="H19" s="9">
        <f>'CS-RM'!H16</f>
        <v>7.9596</v>
      </c>
      <c r="I19" s="9">
        <f>'CS-RM'!I16</f>
        <v>8.6660000000000004</v>
      </c>
      <c r="J19" s="9">
        <f>'CS-RM'!J16</f>
        <v>9.75</v>
      </c>
      <c r="K19" s="9">
        <f>'CS-RM'!K16</f>
        <v>10.9216</v>
      </c>
    </row>
    <row r="20" spans="1:11" x14ac:dyDescent="0.25">
      <c r="A20" s="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78" t="s">
        <v>180</v>
      </c>
      <c r="B21" s="22">
        <f>B16+B18-B19</f>
        <v>88</v>
      </c>
      <c r="C21" s="22">
        <f t="shared" ref="C21:K21" si="2">C16+C18-C19</f>
        <v>101.45299999999999</v>
      </c>
      <c r="D21" s="22">
        <f t="shared" si="2"/>
        <v>116.2392</v>
      </c>
      <c r="E21" s="22">
        <f t="shared" si="2"/>
        <v>132.202</v>
      </c>
      <c r="F21" s="22">
        <f t="shared" si="2"/>
        <v>149.46459999999999</v>
      </c>
      <c r="G21" s="22">
        <f t="shared" si="2"/>
        <v>168.17179999999999</v>
      </c>
      <c r="H21" s="22">
        <f t="shared" si="2"/>
        <v>188.322</v>
      </c>
      <c r="I21" s="22">
        <f t="shared" si="2"/>
        <v>210.06309999999999</v>
      </c>
      <c r="J21" s="22">
        <f t="shared" si="2"/>
        <v>233.566</v>
      </c>
      <c r="K21" s="22">
        <f t="shared" si="2"/>
        <v>258.899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181</v>
      </c>
      <c r="B23" s="35">
        <f>'Opex Schedule'!C18+'Opex Schedule'!C27</f>
        <v>24.1203</v>
      </c>
      <c r="C23" s="35">
        <f>'Opex Schedule'!D18+'Opex Schedule'!D27</f>
        <v>25.326315000000001</v>
      </c>
      <c r="D23" s="35">
        <f>'Opex Schedule'!E18+'Opex Schedule'!E27</f>
        <v>26.592630750000005</v>
      </c>
      <c r="E23" s="35">
        <f>'Opex Schedule'!F18+'Opex Schedule'!F27</f>
        <v>27.922262287500011</v>
      </c>
      <c r="F23" s="35">
        <f>'Opex Schedule'!G18+'Opex Schedule'!G27</f>
        <v>29.318375401875002</v>
      </c>
      <c r="G23" s="35">
        <f>'Opex Schedule'!H18+'Opex Schedule'!H27</f>
        <v>30.78429417196876</v>
      </c>
      <c r="H23" s="35">
        <f>'Opex Schedule'!I18+'Opex Schedule'!I27</f>
        <v>32.323508880567196</v>
      </c>
      <c r="I23" s="35">
        <f>'Opex Schedule'!J18+'Opex Schedule'!J27</f>
        <v>33.939684324595561</v>
      </c>
      <c r="J23" s="35">
        <f>'Opex Schedule'!K18+'Opex Schedule'!K27</f>
        <v>35.636668540825333</v>
      </c>
      <c r="K23" s="35">
        <f>'Opex Schedule'!L18+'Opex Schedule'!L27</f>
        <v>37.418501967866611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182</v>
      </c>
      <c r="B25" s="22">
        <f>'Opex Schedule'!C42</f>
        <v>16.780999999999999</v>
      </c>
      <c r="C25" s="22">
        <f>'Opex Schedule'!D42</f>
        <v>18.879000000000005</v>
      </c>
      <c r="D25" s="22">
        <f>'Opex Schedule'!E42</f>
        <v>21.018999999999998</v>
      </c>
      <c r="E25" s="22">
        <f>'Opex Schedule'!F42</f>
        <v>23.196000000000002</v>
      </c>
      <c r="F25" s="22">
        <f>'Opex Schedule'!G42</f>
        <v>25.675000000000001</v>
      </c>
      <c r="G25" s="22">
        <f>'Opex Schedule'!H42</f>
        <v>28.017000000000007</v>
      </c>
      <c r="H25" s="22">
        <f>'Opex Schedule'!I42</f>
        <v>30.421000000000006</v>
      </c>
      <c r="I25" s="22">
        <f>'Opex Schedule'!J42</f>
        <v>32.273000000000003</v>
      </c>
      <c r="J25" s="22">
        <f>'Opex Schedule'!K42</f>
        <v>34.332000000000008</v>
      </c>
      <c r="K25" s="22">
        <f>'Opex Schedule'!L42</f>
        <v>36.163999999999994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183</v>
      </c>
      <c r="B27" s="19">
        <f>'Project Glance'!B10/10</f>
        <v>1.1021000000000001</v>
      </c>
      <c r="C27" s="19">
        <f>B27</f>
        <v>1.1021000000000001</v>
      </c>
      <c r="D27" s="19">
        <f t="shared" ref="D27:K27" si="3">C27</f>
        <v>1.1021000000000001</v>
      </c>
      <c r="E27" s="19">
        <f t="shared" si="3"/>
        <v>1.1021000000000001</v>
      </c>
      <c r="F27" s="19">
        <f t="shared" si="3"/>
        <v>1.1021000000000001</v>
      </c>
      <c r="G27" s="19">
        <f t="shared" si="3"/>
        <v>1.1021000000000001</v>
      </c>
      <c r="H27" s="19">
        <f t="shared" si="3"/>
        <v>1.1021000000000001</v>
      </c>
      <c r="I27" s="19">
        <f t="shared" si="3"/>
        <v>1.1021000000000001</v>
      </c>
      <c r="J27" s="19">
        <f t="shared" si="3"/>
        <v>1.1021000000000001</v>
      </c>
      <c r="K27" s="19">
        <f t="shared" si="3"/>
        <v>1.1021000000000001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184</v>
      </c>
      <c r="B29" s="19">
        <f>B14-B21-B23-B25-B27</f>
        <v>23.936599999999999</v>
      </c>
      <c r="C29" s="19">
        <f t="shared" ref="C29:K29" si="4">C14-C21-C23-C25-C27</f>
        <v>31.717685000000017</v>
      </c>
      <c r="D29" s="19">
        <f t="shared" si="4"/>
        <v>40.063169250000023</v>
      </c>
      <c r="E29" s="19">
        <f t="shared" si="4"/>
        <v>49.554237712499976</v>
      </c>
      <c r="F29" s="19">
        <f t="shared" si="4"/>
        <v>59.756024598125016</v>
      </c>
      <c r="G29" s="19">
        <f t="shared" si="4"/>
        <v>71.099805828031322</v>
      </c>
      <c r="H29" s="19">
        <f t="shared" si="4"/>
        <v>83.660891119432847</v>
      </c>
      <c r="I29" s="19">
        <f t="shared" si="4"/>
        <v>98.095115675404401</v>
      </c>
      <c r="J29" s="19">
        <f t="shared" si="4"/>
        <v>114.09973145917471</v>
      </c>
      <c r="K29" s="19">
        <f t="shared" si="4"/>
        <v>131.41149803213338</v>
      </c>
    </row>
    <row r="30" spans="1:11" x14ac:dyDescent="0.25">
      <c r="A30" s="6" t="s">
        <v>185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186</v>
      </c>
      <c r="B31" s="9">
        <f>'WC Assessment'!C15*0.09</f>
        <v>0.64883643749999986</v>
      </c>
      <c r="C31" s="9">
        <f>'WC Assessment'!D15*0.09</f>
        <v>0.85189379062499981</v>
      </c>
      <c r="D31" s="9">
        <f>'WC Assessment'!E15*0.09</f>
        <v>0.98252813953124996</v>
      </c>
      <c r="E31" s="9">
        <f>'WC Assessment'!F15*0.09</f>
        <v>1.1575031496328123</v>
      </c>
      <c r="F31" s="9">
        <f>'WC Assessment'!G15*0.09</f>
        <v>1.3161055758644531</v>
      </c>
      <c r="G31" s="9">
        <f>'WC Assessment'!H15*0.09</f>
        <v>1.5034640952826761</v>
      </c>
      <c r="H31" s="9">
        <f>'WC Assessment'!I15*0.09</f>
        <v>1.7281394500468097</v>
      </c>
      <c r="I31" s="9">
        <f>'WC Assessment'!J15*0.09</f>
        <v>1.9385449631741503</v>
      </c>
      <c r="J31" s="9">
        <f>'WC Assessment'!K15*0.09</f>
        <v>2.1843395519578577</v>
      </c>
      <c r="K31" s="9">
        <f>'WC Assessment'!L15*0.09</f>
        <v>2.4907781139307503</v>
      </c>
    </row>
    <row r="32" spans="1:11" x14ac:dyDescent="0.25">
      <c r="A32" s="6" t="s">
        <v>187</v>
      </c>
      <c r="B32" s="19">
        <f>Depn!C20</f>
        <v>10.317322000000001</v>
      </c>
      <c r="C32" s="19">
        <f>Depn!D20</f>
        <v>10.317322000000001</v>
      </c>
      <c r="D32" s="19">
        <f>Depn!E20</f>
        <v>10.317322000000001</v>
      </c>
      <c r="E32" s="19">
        <f>Depn!F20</f>
        <v>10.317322000000001</v>
      </c>
      <c r="F32" s="19">
        <f>Depn!G20</f>
        <v>10.317322000000001</v>
      </c>
      <c r="G32" s="19">
        <f>Depn!H20</f>
        <v>10.317322000000001</v>
      </c>
      <c r="H32" s="19">
        <f>Depn!I20</f>
        <v>10.317322000000001</v>
      </c>
      <c r="I32" s="19">
        <f>Depn!J20</f>
        <v>10.317322000000001</v>
      </c>
      <c r="J32" s="19">
        <f>Depn!K20</f>
        <v>10.317322000000001</v>
      </c>
      <c r="K32" s="19">
        <f>Depn!L20</f>
        <v>10.317322000000001</v>
      </c>
    </row>
    <row r="33" spans="1:13" x14ac:dyDescent="0.25">
      <c r="A33" s="6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6" t="s">
        <v>188</v>
      </c>
      <c r="B34" s="19">
        <f>B29-B30-B31-B32</f>
        <v>12.9704415625</v>
      </c>
      <c r="C34" s="19">
        <f t="shared" ref="C34:K34" si="5">C29-C30-C31-C32</f>
        <v>20.548469209375018</v>
      </c>
      <c r="D34" s="19">
        <f t="shared" si="5"/>
        <v>28.763319110468775</v>
      </c>
      <c r="E34" s="19">
        <f t="shared" si="5"/>
        <v>38.079412562867162</v>
      </c>
      <c r="F34" s="19">
        <f t="shared" si="5"/>
        <v>48.122597022260564</v>
      </c>
      <c r="G34" s="19">
        <f t="shared" si="5"/>
        <v>59.279019732748637</v>
      </c>
      <c r="H34" s="19">
        <f t="shared" si="5"/>
        <v>71.615429669386032</v>
      </c>
      <c r="I34" s="19">
        <f t="shared" si="5"/>
        <v>85.839248712230244</v>
      </c>
      <c r="J34" s="19">
        <f t="shared" si="5"/>
        <v>101.59806990721684</v>
      </c>
      <c r="K34" s="19">
        <f t="shared" si="5"/>
        <v>118.60339791820262</v>
      </c>
    </row>
    <row r="35" spans="1:13" x14ac:dyDescent="0.25">
      <c r="A35" s="6" t="s">
        <v>191</v>
      </c>
      <c r="B35" s="19">
        <f>Tax!B13</f>
        <v>0</v>
      </c>
      <c r="C35" s="19">
        <f>Tax!C13</f>
        <v>0.25464143156250607</v>
      </c>
      <c r="D35" s="19">
        <f>Tax!D13</f>
        <v>5.1719230831406326</v>
      </c>
      <c r="E35" s="19">
        <f>Tax!E13</f>
        <v>8.760223406360149</v>
      </c>
      <c r="F35" s="19">
        <f>Tax!F13</f>
        <v>12.461607548553172</v>
      </c>
      <c r="G35" s="19">
        <f>Tax!G13</f>
        <v>16.406278469418343</v>
      </c>
      <c r="H35" s="19">
        <f>Tax!H13</f>
        <v>20.6266056035705</v>
      </c>
      <c r="I35" s="19">
        <f>Tax!I13</f>
        <v>25.345434342050559</v>
      </c>
      <c r="J35" s="19">
        <f>Tax!J13</f>
        <v>30.466181818225312</v>
      </c>
      <c r="K35" s="19">
        <f>Tax!K13</f>
        <v>35.910169662854408</v>
      </c>
      <c r="M35" s="13"/>
    </row>
    <row r="36" spans="1:13" x14ac:dyDescent="0.25">
      <c r="A36" s="8" t="s">
        <v>189</v>
      </c>
      <c r="B36" s="22">
        <f>B34-B35</f>
        <v>12.9704415625</v>
      </c>
      <c r="C36" s="22">
        <f t="shared" ref="C36:K36" si="6">C34-C35</f>
        <v>20.29382777781251</v>
      </c>
      <c r="D36" s="22">
        <f t="shared" si="6"/>
        <v>23.591396027328141</v>
      </c>
      <c r="E36" s="22">
        <f t="shared" si="6"/>
        <v>29.319189156507015</v>
      </c>
      <c r="F36" s="22">
        <f t="shared" si="6"/>
        <v>35.660989473707389</v>
      </c>
      <c r="G36" s="22">
        <f t="shared" si="6"/>
        <v>42.872741263330298</v>
      </c>
      <c r="H36" s="22">
        <f t="shared" si="6"/>
        <v>50.988824065815535</v>
      </c>
      <c r="I36" s="22">
        <f t="shared" si="6"/>
        <v>60.493814370179685</v>
      </c>
      <c r="J36" s="22">
        <f t="shared" si="6"/>
        <v>71.131888088991531</v>
      </c>
      <c r="K36" s="22">
        <f t="shared" si="6"/>
        <v>82.693228255348203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3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190</v>
      </c>
      <c r="B41" s="19">
        <f>B36</f>
        <v>12.9704415625</v>
      </c>
      <c r="C41" s="19">
        <f>B41+C36</f>
        <v>33.264269340312509</v>
      </c>
      <c r="D41" s="19">
        <f t="shared" ref="D41:K41" si="7">C41+D36</f>
        <v>56.855665367640654</v>
      </c>
      <c r="E41" s="19">
        <f t="shared" si="7"/>
        <v>86.174854524147662</v>
      </c>
      <c r="F41" s="19">
        <f t="shared" si="7"/>
        <v>121.83584399785505</v>
      </c>
      <c r="G41" s="19">
        <f t="shared" si="7"/>
        <v>164.70858526118536</v>
      </c>
      <c r="H41" s="19">
        <f t="shared" si="7"/>
        <v>215.69740932700091</v>
      </c>
      <c r="I41" s="19">
        <f t="shared" si="7"/>
        <v>276.19122369718059</v>
      </c>
      <c r="J41" s="19">
        <f t="shared" si="7"/>
        <v>347.32311178617215</v>
      </c>
      <c r="K41" s="19">
        <f t="shared" si="7"/>
        <v>430.01634004152038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topLeftCell="A7" zoomScale="60" zoomScaleNormal="100" workbookViewId="0">
      <selection activeCell="C64" sqref="C64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32"/>
      <c r="B1" s="133" t="s">
        <v>399</v>
      </c>
    </row>
    <row r="2" spans="1:12" x14ac:dyDescent="0.25">
      <c r="A2" s="2">
        <v>1</v>
      </c>
      <c r="B2" s="3" t="s">
        <v>371</v>
      </c>
    </row>
    <row r="3" spans="1:12" x14ac:dyDescent="0.25">
      <c r="A3" s="134" t="s">
        <v>332</v>
      </c>
      <c r="B3" s="1" t="s">
        <v>372</v>
      </c>
      <c r="C3" s="1" t="s">
        <v>672</v>
      </c>
    </row>
    <row r="4" spans="1:12" x14ac:dyDescent="0.25">
      <c r="A4" s="134" t="s">
        <v>333</v>
      </c>
      <c r="B4" s="1" t="s">
        <v>373</v>
      </c>
      <c r="C4" s="1" t="s">
        <v>673</v>
      </c>
    </row>
    <row r="6" spans="1:12" x14ac:dyDescent="0.25">
      <c r="A6" s="2">
        <v>2</v>
      </c>
      <c r="B6" s="3" t="s">
        <v>363</v>
      </c>
      <c r="C6" s="3" t="s">
        <v>374</v>
      </c>
      <c r="D6" s="3" t="s">
        <v>456</v>
      </c>
    </row>
    <row r="7" spans="1:12" x14ac:dyDescent="0.25">
      <c r="B7" s="1" t="s">
        <v>375</v>
      </c>
      <c r="C7" s="82">
        <v>3.1699999999999999E-2</v>
      </c>
      <c r="D7" s="82">
        <v>6.3299999999999995E-2</v>
      </c>
    </row>
    <row r="8" spans="1:12" x14ac:dyDescent="0.25">
      <c r="B8" s="1" t="s">
        <v>376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377</v>
      </c>
      <c r="C10" s="3" t="s">
        <v>64</v>
      </c>
    </row>
    <row r="12" spans="1:12" x14ac:dyDescent="0.25">
      <c r="A12" s="2">
        <v>4</v>
      </c>
      <c r="B12" s="3" t="s">
        <v>146</v>
      </c>
      <c r="C12" s="129" t="s">
        <v>36</v>
      </c>
      <c r="D12" s="129" t="s">
        <v>37</v>
      </c>
      <c r="E12" s="129" t="s">
        <v>38</v>
      </c>
      <c r="F12" s="129" t="s">
        <v>39</v>
      </c>
      <c r="G12" s="129" t="s">
        <v>40</v>
      </c>
      <c r="H12" s="129" t="s">
        <v>41</v>
      </c>
      <c r="I12" s="129" t="s">
        <v>42</v>
      </c>
      <c r="J12" s="219" t="s">
        <v>499</v>
      </c>
      <c r="K12" s="219" t="s">
        <v>500</v>
      </c>
      <c r="L12" s="219" t="s">
        <v>501</v>
      </c>
    </row>
    <row r="13" spans="1:12" x14ac:dyDescent="0.25">
      <c r="A13" s="134" t="s">
        <v>332</v>
      </c>
      <c r="B13" s="128" t="s">
        <v>378</v>
      </c>
      <c r="C13" s="130">
        <f>'Output Schedule'!B8</f>
        <v>0.5</v>
      </c>
      <c r="D13" s="130">
        <f>'Output Schedule'!C8</f>
        <v>0.55000000000000004</v>
      </c>
      <c r="E13" s="130">
        <f>'Output Schedule'!D8</f>
        <v>0.60000000000000009</v>
      </c>
      <c r="F13" s="130">
        <f>'Output Schedule'!E8</f>
        <v>0.65000000000000013</v>
      </c>
      <c r="G13" s="130">
        <f>'Output Schedule'!F8</f>
        <v>0.70000000000000018</v>
      </c>
      <c r="H13" s="130">
        <f>'Output Schedule'!G8</f>
        <v>0.75000000000000022</v>
      </c>
      <c r="I13" s="130">
        <f>'Output Schedule'!H8</f>
        <v>0.80000000000000027</v>
      </c>
      <c r="J13" s="130">
        <f>'Output Schedule'!I8</f>
        <v>0.85000000000000031</v>
      </c>
      <c r="K13" s="130">
        <f>'Output Schedule'!J8</f>
        <v>0.90000000000000036</v>
      </c>
      <c r="L13" s="130">
        <f>'Output Schedule'!K8</f>
        <v>0.9500000000000004</v>
      </c>
    </row>
    <row r="14" spans="1:12" x14ac:dyDescent="0.25">
      <c r="A14" s="134" t="s">
        <v>333</v>
      </c>
      <c r="B14" s="128" t="s">
        <v>163</v>
      </c>
      <c r="C14" s="130">
        <f>'Output Schedule'!B9</f>
        <v>0.5</v>
      </c>
      <c r="D14" s="130">
        <f>'Output Schedule'!C9</f>
        <v>0.55000000000000004</v>
      </c>
      <c r="E14" s="130">
        <f>'Output Schedule'!D9</f>
        <v>0.60000000000000009</v>
      </c>
      <c r="F14" s="130">
        <f>'Output Schedule'!E9</f>
        <v>0.65000000000000013</v>
      </c>
      <c r="G14" s="130">
        <f>'Output Schedule'!F9</f>
        <v>0.70000000000000018</v>
      </c>
      <c r="H14" s="130">
        <f>'Output Schedule'!G9</f>
        <v>0.75000000000000022</v>
      </c>
      <c r="I14" s="130">
        <f>'Output Schedule'!H9</f>
        <v>0.80000000000000027</v>
      </c>
      <c r="J14" s="130">
        <f>'Output Schedule'!I9</f>
        <v>0.85000000000000031</v>
      </c>
      <c r="K14" s="130">
        <f>'Output Schedule'!J9</f>
        <v>0.90000000000000036</v>
      </c>
      <c r="L14" s="130">
        <f>'Output Schedule'!K9</f>
        <v>0.9500000000000004</v>
      </c>
    </row>
    <row r="15" spans="1:12" hidden="1" x14ac:dyDescent="0.25">
      <c r="A15" s="134" t="s">
        <v>334</v>
      </c>
      <c r="B15" s="128" t="s">
        <v>455</v>
      </c>
      <c r="C15" s="130">
        <f>'Farm Implement Business'!G4</f>
        <v>0.4</v>
      </c>
      <c r="D15" s="130">
        <f>'Farm Implement Business'!H4</f>
        <v>0.5</v>
      </c>
      <c r="E15" s="130">
        <f>'Farm Implement Business'!I4</f>
        <v>0.55000000000000004</v>
      </c>
      <c r="F15" s="130">
        <f>'Farm Implement Business'!J4</f>
        <v>0.60000000000000009</v>
      </c>
      <c r="G15" s="130">
        <f>'Farm Implement Business'!K4</f>
        <v>0.65000000000000013</v>
      </c>
      <c r="H15" s="130">
        <f>'Farm Implement Business'!L4</f>
        <v>0.65000000000000013</v>
      </c>
      <c r="I15" s="130">
        <f>'Farm Implement Business'!M4</f>
        <v>0.65000000000000013</v>
      </c>
    </row>
    <row r="17" spans="1:12" x14ac:dyDescent="0.25">
      <c r="A17" s="2">
        <v>5</v>
      </c>
      <c r="B17" s="3" t="s">
        <v>379</v>
      </c>
    </row>
    <row r="18" spans="1:12" x14ac:dyDescent="0.25">
      <c r="A18" s="134" t="s">
        <v>332</v>
      </c>
      <c r="B18" s="128" t="str">
        <f>+'Output Schedule'!A20</f>
        <v>Polished Rice</v>
      </c>
      <c r="C18" s="267">
        <f>+'Output Schedule'!L20</f>
        <v>0.5</v>
      </c>
    </row>
    <row r="19" spans="1:12" x14ac:dyDescent="0.25">
      <c r="A19" s="134" t="s">
        <v>333</v>
      </c>
      <c r="B19" s="128" t="str">
        <f>+'Output Schedule'!A21</f>
        <v>Husk</v>
      </c>
      <c r="C19" s="267">
        <f>+'Output Schedule'!L21</f>
        <v>0.2</v>
      </c>
    </row>
    <row r="20" spans="1:12" x14ac:dyDescent="0.25">
      <c r="A20" s="134" t="s">
        <v>334</v>
      </c>
      <c r="B20" s="128" t="str">
        <f>+'Output Schedule'!A22</f>
        <v>Broken</v>
      </c>
      <c r="C20" s="267">
        <f>+'Output Schedule'!L22</f>
        <v>0.2</v>
      </c>
    </row>
    <row r="21" spans="1:12" x14ac:dyDescent="0.25">
      <c r="A21" s="134" t="s">
        <v>436</v>
      </c>
      <c r="B21" s="128" t="str">
        <f>+'Output Schedule'!A23</f>
        <v>Bran</v>
      </c>
      <c r="C21" s="267">
        <f>+'Output Schedule'!L23</f>
        <v>0.08</v>
      </c>
    </row>
    <row r="23" spans="1:12" x14ac:dyDescent="0.25">
      <c r="A23" s="2">
        <v>6</v>
      </c>
      <c r="B23" s="131" t="s">
        <v>380</v>
      </c>
      <c r="C23" s="129" t="s">
        <v>36</v>
      </c>
      <c r="D23" s="129" t="s">
        <v>37</v>
      </c>
      <c r="E23" s="129" t="s">
        <v>38</v>
      </c>
      <c r="F23" s="129" t="s">
        <v>39</v>
      </c>
      <c r="G23" s="129" t="s">
        <v>40</v>
      </c>
      <c r="H23" s="129" t="s">
        <v>41</v>
      </c>
      <c r="I23" s="129" t="s">
        <v>42</v>
      </c>
      <c r="J23" s="219" t="s">
        <v>499</v>
      </c>
      <c r="K23" s="219" t="s">
        <v>500</v>
      </c>
      <c r="L23" s="219" t="s">
        <v>501</v>
      </c>
    </row>
    <row r="24" spans="1:12" x14ac:dyDescent="0.25">
      <c r="B24" s="1" t="str">
        <f>'Output Schedule'!A34</f>
        <v>No of days of opertaion (JW Services)</v>
      </c>
      <c r="C24" s="1">
        <f>'Output Schedule'!B34</f>
        <v>113</v>
      </c>
      <c r="D24" s="1">
        <f>'Output Schedule'!C34</f>
        <v>124</v>
      </c>
      <c r="E24" s="1">
        <f>'Output Schedule'!D34</f>
        <v>135</v>
      </c>
      <c r="F24" s="1">
        <f>'Output Schedule'!E34</f>
        <v>146</v>
      </c>
      <c r="G24" s="1">
        <f>'Output Schedule'!F34</f>
        <v>158</v>
      </c>
      <c r="H24" s="1">
        <f>'Output Schedule'!G34</f>
        <v>169</v>
      </c>
      <c r="I24" s="1">
        <f>'Output Schedule'!H34</f>
        <v>180</v>
      </c>
      <c r="J24" s="1">
        <f>'Output Schedule'!I34</f>
        <v>191</v>
      </c>
      <c r="K24" s="1">
        <f>'Output Schedule'!J34</f>
        <v>203</v>
      </c>
      <c r="L24" s="1">
        <f>'Output Schedule'!K34</f>
        <v>214</v>
      </c>
    </row>
    <row r="25" spans="1:12" x14ac:dyDescent="0.25">
      <c r="B25" s="1" t="str">
        <f>'Output Schedule'!A35</f>
        <v>No of days of opertaion (Captive Operations)</v>
      </c>
      <c r="C25" s="1">
        <f>'Output Schedule'!B35</f>
        <v>13</v>
      </c>
      <c r="D25" s="1">
        <f>'Output Schedule'!C35</f>
        <v>14</v>
      </c>
      <c r="E25" s="1">
        <f>'Output Schedule'!D35</f>
        <v>15</v>
      </c>
      <c r="F25" s="1">
        <f>'Output Schedule'!E35</f>
        <v>16</v>
      </c>
      <c r="G25" s="1">
        <f>'Output Schedule'!F35</f>
        <v>18</v>
      </c>
      <c r="H25" s="1">
        <f>'Output Schedule'!G35</f>
        <v>19</v>
      </c>
      <c r="I25" s="1">
        <f>'Output Schedule'!H35</f>
        <v>20</v>
      </c>
      <c r="J25" s="1">
        <f>'Output Schedule'!I35</f>
        <v>21</v>
      </c>
      <c r="K25" s="1">
        <f>'Output Schedule'!J35</f>
        <v>23</v>
      </c>
      <c r="L25" s="1">
        <f>'Output Schedule'!K35</f>
        <v>24</v>
      </c>
    </row>
    <row r="27" spans="1:12" x14ac:dyDescent="0.25">
      <c r="B27" s="3" t="str">
        <f>'Output Schedule'!A37</f>
        <v>Total Working days of the Facilty</v>
      </c>
      <c r="C27" s="3">
        <f>'Output Schedule'!B37</f>
        <v>126</v>
      </c>
      <c r="D27" s="3">
        <f>'Output Schedule'!C37</f>
        <v>138</v>
      </c>
      <c r="E27" s="3">
        <f>'Output Schedule'!D37</f>
        <v>150</v>
      </c>
      <c r="F27" s="3">
        <f>'Output Schedule'!E37</f>
        <v>162</v>
      </c>
      <c r="G27" s="3">
        <f>'Output Schedule'!F37</f>
        <v>176</v>
      </c>
      <c r="H27" s="3">
        <f>'Output Schedule'!G37</f>
        <v>188</v>
      </c>
      <c r="I27" s="3">
        <f>'Output Schedule'!H37</f>
        <v>200</v>
      </c>
      <c r="J27" s="3">
        <f>'Output Schedule'!I37</f>
        <v>212</v>
      </c>
      <c r="K27" s="3">
        <f>'Output Schedule'!J37</f>
        <v>226</v>
      </c>
      <c r="L27" s="3">
        <f>'Output Schedule'!K37</f>
        <v>238</v>
      </c>
    </row>
    <row r="29" spans="1:12" x14ac:dyDescent="0.25">
      <c r="A29" s="60">
        <v>7</v>
      </c>
      <c r="B29" s="1" t="s">
        <v>381</v>
      </c>
      <c r="C29" s="1" t="s">
        <v>382</v>
      </c>
    </row>
    <row r="30" spans="1:12" x14ac:dyDescent="0.25">
      <c r="A30" s="60">
        <v>8</v>
      </c>
      <c r="B30" s="1" t="s">
        <v>383</v>
      </c>
      <c r="C30" s="1" t="s">
        <v>382</v>
      </c>
    </row>
    <row r="31" spans="1:12" hidden="1" x14ac:dyDescent="0.25">
      <c r="A31" s="60">
        <v>9</v>
      </c>
      <c r="B31" s="1" t="s">
        <v>461</v>
      </c>
      <c r="C31" s="1" t="s">
        <v>469</v>
      </c>
    </row>
    <row r="33" spans="1:12" x14ac:dyDescent="0.25">
      <c r="A33" s="60">
        <v>9</v>
      </c>
      <c r="B33" s="3" t="s">
        <v>384</v>
      </c>
      <c r="C33" s="129" t="s">
        <v>36</v>
      </c>
      <c r="D33" s="129" t="s">
        <v>37</v>
      </c>
      <c r="E33" s="129" t="s">
        <v>38</v>
      </c>
      <c r="F33" s="129" t="s">
        <v>39</v>
      </c>
      <c r="G33" s="129" t="s">
        <v>40</v>
      </c>
      <c r="H33" s="129" t="s">
        <v>41</v>
      </c>
      <c r="I33" s="129" t="s">
        <v>42</v>
      </c>
      <c r="J33" s="219" t="s">
        <v>499</v>
      </c>
      <c r="K33" s="219" t="s">
        <v>500</v>
      </c>
      <c r="L33" s="219" t="s">
        <v>501</v>
      </c>
    </row>
    <row r="34" spans="1:12" x14ac:dyDescent="0.25">
      <c r="B34" s="1" t="s">
        <v>599</v>
      </c>
      <c r="C34" s="25">
        <f>'Purchase Schedule'!B4</f>
        <v>22000</v>
      </c>
      <c r="D34" s="25">
        <f>'Purchase Schedule'!C4</f>
        <v>23100</v>
      </c>
      <c r="E34" s="25">
        <f>'Purchase Schedule'!D4</f>
        <v>24260</v>
      </c>
      <c r="F34" s="25">
        <f>'Purchase Schedule'!E4</f>
        <v>25470</v>
      </c>
      <c r="G34" s="25">
        <f>'Purchase Schedule'!F4</f>
        <v>26740</v>
      </c>
      <c r="H34" s="25">
        <f>'Purchase Schedule'!G4</f>
        <v>28080</v>
      </c>
      <c r="I34" s="25">
        <f>'Purchase Schedule'!H4</f>
        <v>29480</v>
      </c>
      <c r="J34" s="25">
        <f>'Purchase Schedule'!I4</f>
        <v>30950</v>
      </c>
      <c r="K34" s="25">
        <f>'Purchase Schedule'!J4</f>
        <v>32500</v>
      </c>
      <c r="L34" s="25">
        <f>'Purchase Schedule'!K4</f>
        <v>34130</v>
      </c>
    </row>
    <row r="35" spans="1:12" x14ac:dyDescent="0.25">
      <c r="C35" s="25"/>
      <c r="D35" s="25"/>
      <c r="E35" s="25"/>
      <c r="F35" s="25"/>
      <c r="G35" s="25"/>
      <c r="H35" s="25"/>
      <c r="I35" s="25"/>
    </row>
    <row r="36" spans="1:12" hidden="1" x14ac:dyDescent="0.25">
      <c r="C36" s="188" t="s">
        <v>36</v>
      </c>
      <c r="D36" s="188" t="s">
        <v>37</v>
      </c>
      <c r="E36" s="188" t="s">
        <v>38</v>
      </c>
      <c r="F36" s="188" t="s">
        <v>39</v>
      </c>
      <c r="G36" s="188" t="s">
        <v>40</v>
      </c>
      <c r="H36" s="188" t="s">
        <v>41</v>
      </c>
      <c r="I36" s="188" t="s">
        <v>42</v>
      </c>
    </row>
    <row r="37" spans="1:12" hidden="1" x14ac:dyDescent="0.25">
      <c r="A37" s="60">
        <v>11</v>
      </c>
      <c r="B37" s="1" t="s">
        <v>463</v>
      </c>
      <c r="C37" s="25">
        <f>'Production Level Support'!B3</f>
        <v>0</v>
      </c>
      <c r="D37" s="25">
        <f>'Production Level Support'!C3</f>
        <v>0</v>
      </c>
      <c r="E37" s="25">
        <f>'Production Level Support'!D3</f>
        <v>0</v>
      </c>
      <c r="F37" s="25">
        <f>'Production Level Support'!E3</f>
        <v>0</v>
      </c>
      <c r="G37" s="25">
        <f>'Production Level Support'!F3</f>
        <v>0</v>
      </c>
      <c r="H37" s="25">
        <f>'Production Level Support'!G3</f>
        <v>0</v>
      </c>
      <c r="I37" s="25">
        <f>'Production Level Support'!H3</f>
        <v>0</v>
      </c>
    </row>
    <row r="38" spans="1:12" hidden="1" x14ac:dyDescent="0.25">
      <c r="C38" s="25"/>
      <c r="D38" s="25"/>
      <c r="E38" s="25"/>
      <c r="F38" s="25"/>
      <c r="G38" s="25"/>
      <c r="H38" s="25"/>
      <c r="I38" s="25"/>
    </row>
    <row r="39" spans="1:12" hidden="1" x14ac:dyDescent="0.25">
      <c r="C39" s="188" t="s">
        <v>36</v>
      </c>
      <c r="D39" s="188" t="s">
        <v>37</v>
      </c>
      <c r="E39" s="188" t="s">
        <v>38</v>
      </c>
      <c r="F39" s="188" t="s">
        <v>39</v>
      </c>
      <c r="G39" s="188" t="s">
        <v>40</v>
      </c>
      <c r="H39" s="188" t="s">
        <v>41</v>
      </c>
      <c r="I39" s="188" t="s">
        <v>42</v>
      </c>
    </row>
    <row r="40" spans="1:12" hidden="1" x14ac:dyDescent="0.25">
      <c r="A40" s="60">
        <v>12</v>
      </c>
      <c r="B40" s="1" t="s">
        <v>466</v>
      </c>
      <c r="C40" s="38">
        <v>0.85</v>
      </c>
      <c r="D40" s="38">
        <v>0.85</v>
      </c>
      <c r="E40" s="38">
        <v>0.85</v>
      </c>
      <c r="F40" s="38">
        <v>0.85</v>
      </c>
      <c r="G40" s="38">
        <v>0.85</v>
      </c>
      <c r="H40" s="38">
        <v>0.85</v>
      </c>
      <c r="I40" s="38">
        <v>0.85</v>
      </c>
    </row>
    <row r="41" spans="1:12" x14ac:dyDescent="0.25">
      <c r="C41" s="25"/>
      <c r="D41" s="25"/>
      <c r="E41" s="25"/>
      <c r="F41" s="25"/>
      <c r="G41" s="25"/>
      <c r="H41" s="25"/>
      <c r="I41" s="25"/>
    </row>
    <row r="42" spans="1:12" x14ac:dyDescent="0.25">
      <c r="A42" s="60">
        <v>10</v>
      </c>
      <c r="B42" s="3" t="s">
        <v>464</v>
      </c>
      <c r="C42" s="129" t="s">
        <v>36</v>
      </c>
      <c r="D42" s="129" t="s">
        <v>37</v>
      </c>
      <c r="E42" s="129" t="s">
        <v>38</v>
      </c>
      <c r="F42" s="129" t="s">
        <v>39</v>
      </c>
      <c r="G42" s="129" t="s">
        <v>40</v>
      </c>
      <c r="H42" s="129" t="s">
        <v>41</v>
      </c>
      <c r="I42" s="129" t="s">
        <v>42</v>
      </c>
      <c r="J42" s="219" t="s">
        <v>499</v>
      </c>
      <c r="K42" s="219" t="s">
        <v>500</v>
      </c>
      <c r="L42" s="219" t="s">
        <v>501</v>
      </c>
    </row>
    <row r="43" spans="1:12" x14ac:dyDescent="0.25">
      <c r="B43" s="1" t="s">
        <v>655</v>
      </c>
      <c r="C43" s="25">
        <f>'Output Schedule'!B13</f>
        <v>1000</v>
      </c>
      <c r="D43" s="25">
        <f>'Output Schedule'!C13</f>
        <v>1050</v>
      </c>
      <c r="E43" s="25">
        <f>'Output Schedule'!D13</f>
        <v>1103</v>
      </c>
      <c r="F43" s="25">
        <f>'Output Schedule'!E13</f>
        <v>1158</v>
      </c>
      <c r="G43" s="25">
        <f>'Output Schedule'!F13</f>
        <v>1216</v>
      </c>
      <c r="H43" s="25">
        <f>'Output Schedule'!G13</f>
        <v>1277</v>
      </c>
      <c r="I43" s="25">
        <f>'Output Schedule'!H13</f>
        <v>1341</v>
      </c>
      <c r="J43" s="25">
        <f>'Output Schedule'!I13</f>
        <v>1408</v>
      </c>
      <c r="K43" s="25">
        <f>'Output Schedule'!J13</f>
        <v>1478</v>
      </c>
      <c r="L43" s="25">
        <f>'Output Schedule'!K13</f>
        <v>1552</v>
      </c>
    </row>
    <row r="44" spans="1:12" hidden="1" x14ac:dyDescent="0.25">
      <c r="A44" s="60" t="s">
        <v>333</v>
      </c>
      <c r="B44" s="1" t="s">
        <v>465</v>
      </c>
      <c r="C44" s="25"/>
      <c r="D44" s="25"/>
      <c r="E44" s="25"/>
      <c r="F44" s="25"/>
      <c r="G44" s="25"/>
      <c r="H44" s="25"/>
      <c r="I44" s="25"/>
    </row>
    <row r="45" spans="1:12" hidden="1" x14ac:dyDescent="0.25">
      <c r="B45" s="189" t="s">
        <v>467</v>
      </c>
      <c r="C45" s="25">
        <f>'Farm Implement Business'!E5</f>
        <v>1500</v>
      </c>
      <c r="D45" s="25"/>
      <c r="E45" s="25"/>
      <c r="F45" s="25"/>
      <c r="G45" s="25"/>
      <c r="H45" s="25"/>
      <c r="I45" s="25"/>
    </row>
    <row r="46" spans="1:12" hidden="1" x14ac:dyDescent="0.25">
      <c r="B46" s="189" t="s">
        <v>468</v>
      </c>
      <c r="C46" s="25">
        <f>'Farm Implement Business'!E6</f>
        <v>1000</v>
      </c>
      <c r="D46" s="25"/>
      <c r="E46" s="25"/>
      <c r="F46" s="25"/>
      <c r="G46" s="25"/>
      <c r="H46" s="25"/>
      <c r="I46" s="25"/>
    </row>
    <row r="48" spans="1:12" x14ac:dyDescent="0.25">
      <c r="A48" s="60">
        <v>11</v>
      </c>
      <c r="B48" s="3" t="s">
        <v>385</v>
      </c>
      <c r="C48" s="1" t="s">
        <v>386</v>
      </c>
    </row>
    <row r="50" spans="1:12" x14ac:dyDescent="0.25">
      <c r="A50" s="60">
        <v>12</v>
      </c>
      <c r="B50" s="3" t="s">
        <v>387</v>
      </c>
      <c r="C50" s="129" t="s">
        <v>36</v>
      </c>
      <c r="D50" s="129" t="s">
        <v>37</v>
      </c>
      <c r="E50" s="129" t="s">
        <v>38</v>
      </c>
      <c r="F50" s="129" t="s">
        <v>39</v>
      </c>
      <c r="G50" s="129" t="s">
        <v>40</v>
      </c>
      <c r="H50" s="129" t="s">
        <v>41</v>
      </c>
      <c r="I50" s="129" t="s">
        <v>42</v>
      </c>
      <c r="J50" s="219" t="s">
        <v>499</v>
      </c>
      <c r="K50" s="219" t="s">
        <v>500</v>
      </c>
      <c r="L50" s="219" t="s">
        <v>501</v>
      </c>
    </row>
    <row r="51" spans="1:12" x14ac:dyDescent="0.25">
      <c r="A51" s="134" t="s">
        <v>332</v>
      </c>
      <c r="B51" s="1" t="str">
        <f>'CS-FG'!B29</f>
        <v>Polished Rice</v>
      </c>
      <c r="C51" s="25">
        <f>'CS-FG'!C29</f>
        <v>45000</v>
      </c>
      <c r="D51" s="25">
        <f>'CS-FG'!D29</f>
        <v>47250</v>
      </c>
      <c r="E51" s="25">
        <f>'CS-FG'!E29</f>
        <v>49610</v>
      </c>
      <c r="F51" s="25">
        <f>'CS-FG'!F29</f>
        <v>52090</v>
      </c>
      <c r="G51" s="25">
        <f>'CS-FG'!G29</f>
        <v>54690</v>
      </c>
      <c r="H51" s="25">
        <f>'CS-FG'!H29</f>
        <v>57420</v>
      </c>
      <c r="I51" s="25">
        <f>'CS-FG'!I29</f>
        <v>60290</v>
      </c>
      <c r="J51" s="25">
        <f>'CS-FG'!J29</f>
        <v>63300</v>
      </c>
      <c r="K51" s="25">
        <f>'CS-FG'!K29</f>
        <v>66470</v>
      </c>
      <c r="L51" s="25">
        <f>'CS-FG'!L29</f>
        <v>69790</v>
      </c>
    </row>
    <row r="52" spans="1:12" x14ac:dyDescent="0.25">
      <c r="A52" s="134" t="s">
        <v>333</v>
      </c>
      <c r="B52" s="1" t="str">
        <f>'CS-FG'!B30</f>
        <v>Husk</v>
      </c>
      <c r="C52" s="25">
        <f>'CS-FG'!C30</f>
        <v>1000</v>
      </c>
      <c r="D52" s="25">
        <f>'CS-FG'!D30</f>
        <v>1050</v>
      </c>
      <c r="E52" s="25">
        <f>'CS-FG'!E30</f>
        <v>1100</v>
      </c>
      <c r="F52" s="25">
        <f>'CS-FG'!F30</f>
        <v>1160</v>
      </c>
      <c r="G52" s="25">
        <f>'CS-FG'!G30</f>
        <v>1220</v>
      </c>
      <c r="H52" s="25">
        <f>'CS-FG'!H30</f>
        <v>1280</v>
      </c>
      <c r="I52" s="25">
        <f>'CS-FG'!I30</f>
        <v>1340</v>
      </c>
      <c r="J52" s="25">
        <f>'CS-FG'!J30</f>
        <v>1410</v>
      </c>
      <c r="K52" s="25">
        <f>'CS-FG'!K30</f>
        <v>1480</v>
      </c>
      <c r="L52" s="25">
        <f>'CS-FG'!L30</f>
        <v>1550</v>
      </c>
    </row>
    <row r="53" spans="1:12" x14ac:dyDescent="0.25">
      <c r="A53" s="134" t="s">
        <v>334</v>
      </c>
      <c r="B53" s="1" t="str">
        <f>'CS-FG'!B31</f>
        <v>Broken</v>
      </c>
      <c r="C53" s="25">
        <f>'CS-FG'!C31</f>
        <v>22000</v>
      </c>
      <c r="D53" s="25">
        <f>'CS-FG'!D31</f>
        <v>23100</v>
      </c>
      <c r="E53" s="25">
        <f>'CS-FG'!E31</f>
        <v>24260</v>
      </c>
      <c r="F53" s="25">
        <f>'CS-FG'!F31</f>
        <v>25470</v>
      </c>
      <c r="G53" s="25">
        <f>'CS-FG'!G31</f>
        <v>26740</v>
      </c>
      <c r="H53" s="25">
        <f>'CS-FG'!H31</f>
        <v>28080</v>
      </c>
      <c r="I53" s="25">
        <f>'CS-FG'!I31</f>
        <v>29480</v>
      </c>
      <c r="J53" s="25">
        <f>'CS-FG'!J31</f>
        <v>30950</v>
      </c>
      <c r="K53" s="25">
        <f>'CS-FG'!K31</f>
        <v>32500</v>
      </c>
      <c r="L53" s="25">
        <f>'CS-FG'!L31</f>
        <v>34130</v>
      </c>
    </row>
    <row r="54" spans="1:12" x14ac:dyDescent="0.25">
      <c r="A54" s="134" t="s">
        <v>436</v>
      </c>
      <c r="B54" s="1" t="str">
        <f>'CS-FG'!B32</f>
        <v>Bran</v>
      </c>
      <c r="C54" s="25">
        <f>'CS-FG'!C32</f>
        <v>18000</v>
      </c>
      <c r="D54" s="25">
        <f>'CS-FG'!D32</f>
        <v>18900</v>
      </c>
      <c r="E54" s="25">
        <f>'CS-FG'!E32</f>
        <v>19850</v>
      </c>
      <c r="F54" s="25">
        <f>'CS-FG'!F32</f>
        <v>20840</v>
      </c>
      <c r="G54" s="25">
        <f>'CS-FG'!G32</f>
        <v>21880</v>
      </c>
      <c r="H54" s="25">
        <f>'CS-FG'!H32</f>
        <v>22970</v>
      </c>
      <c r="I54" s="25">
        <f>'CS-FG'!I32</f>
        <v>24120</v>
      </c>
      <c r="J54" s="25">
        <f>'CS-FG'!J32</f>
        <v>25330</v>
      </c>
      <c r="K54" s="25">
        <f>'CS-FG'!K32</f>
        <v>26600</v>
      </c>
      <c r="L54" s="25">
        <f>'CS-FG'!L32</f>
        <v>27930</v>
      </c>
    </row>
    <row r="56" spans="1:12" hidden="1" x14ac:dyDescent="0.25">
      <c r="A56" s="60">
        <v>13</v>
      </c>
      <c r="B56" s="3" t="s">
        <v>388</v>
      </c>
      <c r="C56" s="38">
        <v>0.09</v>
      </c>
    </row>
    <row r="57" spans="1:12" hidden="1" x14ac:dyDescent="0.25"/>
    <row r="58" spans="1:12" hidden="1" x14ac:dyDescent="0.25">
      <c r="A58" s="60">
        <v>14</v>
      </c>
      <c r="B58" s="3" t="s">
        <v>389</v>
      </c>
      <c r="C58" s="1" t="s">
        <v>390</v>
      </c>
    </row>
    <row r="59" spans="1:12" hidden="1" x14ac:dyDescent="0.25"/>
    <row r="60" spans="1:12" hidden="1" x14ac:dyDescent="0.25">
      <c r="A60" s="60">
        <v>15</v>
      </c>
      <c r="B60" s="3" t="s">
        <v>391</v>
      </c>
      <c r="C60" s="82">
        <v>0.309</v>
      </c>
    </row>
    <row r="61" spans="1:12" hidden="1" x14ac:dyDescent="0.25"/>
    <row r="62" spans="1:12" x14ac:dyDescent="0.25">
      <c r="A62" s="60">
        <v>13</v>
      </c>
      <c r="B62" s="3" t="s">
        <v>392</v>
      </c>
      <c r="C62" s="1" t="s">
        <v>393</v>
      </c>
    </row>
    <row r="64" spans="1:12" x14ac:dyDescent="0.25">
      <c r="A64" s="60">
        <v>14</v>
      </c>
      <c r="B64" s="3" t="s">
        <v>394</v>
      </c>
      <c r="C64" s="1" t="s">
        <v>393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topLeftCell="A13" zoomScale="90" zoomScaleNormal="100" zoomScaleSheetLayoutView="90" workbookViewId="0">
      <selection activeCell="A4" sqref="A4:K13"/>
    </sheetView>
  </sheetViews>
  <sheetFormatPr defaultRowHeight="15" x14ac:dyDescent="0.25"/>
  <cols>
    <col min="1" max="1" width="22.85546875" customWidth="1"/>
  </cols>
  <sheetData>
    <row r="3" spans="1:11" x14ac:dyDescent="0.25">
      <c r="A3" s="319" t="s">
        <v>291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499</v>
      </c>
      <c r="J4" s="17" t="s">
        <v>500</v>
      </c>
      <c r="K4" s="17" t="s">
        <v>501</v>
      </c>
    </row>
    <row r="5" spans="1:11" x14ac:dyDescent="0.25">
      <c r="A5" s="6" t="s">
        <v>292</v>
      </c>
      <c r="B5" s="19">
        <f>'P&amp;L'!B34</f>
        <v>12.9704415625</v>
      </c>
      <c r="C5" s="19">
        <f>'P&amp;L'!C34</f>
        <v>20.548469209375018</v>
      </c>
      <c r="D5" s="19">
        <f>'P&amp;L'!D34</f>
        <v>28.763319110468775</v>
      </c>
      <c r="E5" s="19">
        <f>'P&amp;L'!E34</f>
        <v>38.079412562867162</v>
      </c>
      <c r="F5" s="19">
        <f>'P&amp;L'!F34</f>
        <v>48.122597022260564</v>
      </c>
      <c r="G5" s="19">
        <f>'P&amp;L'!G34</f>
        <v>59.279019732748637</v>
      </c>
      <c r="H5" s="19">
        <f>'P&amp;L'!H34</f>
        <v>71.615429669386032</v>
      </c>
      <c r="I5" s="19">
        <f>'P&amp;L'!I34</f>
        <v>85.839248712230244</v>
      </c>
      <c r="J5" s="19">
        <f>'P&amp;L'!J34</f>
        <v>101.59806990721684</v>
      </c>
      <c r="K5" s="19">
        <f>'P&amp;L'!K34</f>
        <v>118.60339791820262</v>
      </c>
    </row>
    <row r="6" spans="1:11" ht="30" x14ac:dyDescent="0.25">
      <c r="A6" s="10" t="s">
        <v>293</v>
      </c>
      <c r="B6" s="19">
        <f>'P&amp;L'!B32</f>
        <v>10.317322000000001</v>
      </c>
      <c r="C6" s="19">
        <f>'P&amp;L'!C32</f>
        <v>10.317322000000001</v>
      </c>
      <c r="D6" s="19">
        <f>'P&amp;L'!D32</f>
        <v>10.317322000000001</v>
      </c>
      <c r="E6" s="19">
        <f>'P&amp;L'!E32</f>
        <v>10.317322000000001</v>
      </c>
      <c r="F6" s="19">
        <f>'P&amp;L'!F32</f>
        <v>10.317322000000001</v>
      </c>
      <c r="G6" s="19">
        <f>'P&amp;L'!G32</f>
        <v>10.317322000000001</v>
      </c>
      <c r="H6" s="19">
        <f>'P&amp;L'!H32</f>
        <v>10.317322000000001</v>
      </c>
      <c r="I6" s="19">
        <f>'P&amp;L'!I32</f>
        <v>10.317322000000001</v>
      </c>
      <c r="J6" s="19">
        <f>'P&amp;L'!J32</f>
        <v>10.317322000000001</v>
      </c>
      <c r="K6" s="19">
        <f>'P&amp;L'!K32</f>
        <v>10.317322000000001</v>
      </c>
    </row>
    <row r="7" spans="1:11" ht="30" x14ac:dyDescent="0.25">
      <c r="A7" s="10" t="s">
        <v>294</v>
      </c>
      <c r="B7" s="19">
        <f>Depn!P20</f>
        <v>27.311</v>
      </c>
      <c r="C7" s="19">
        <f>Depn!Q20</f>
        <v>23.789549999999998</v>
      </c>
      <c r="D7" s="19">
        <f>Depn!R20</f>
        <v>20.7387975</v>
      </c>
      <c r="E7" s="19">
        <f>Depn!S20</f>
        <v>18.093889875000002</v>
      </c>
      <c r="F7" s="19">
        <f>Depn!T20</f>
        <v>15.79912719375</v>
      </c>
      <c r="G7" s="19">
        <f>Depn!U20</f>
        <v>13.806646834687502</v>
      </c>
      <c r="H7" s="19">
        <f>Depn!V20</f>
        <v>12.075299657484376</v>
      </c>
      <c r="I7" s="19">
        <f>Depn!W20</f>
        <v>10.569689572061719</v>
      </c>
      <c r="J7" s="19">
        <f>Depn!X20</f>
        <v>9.2593525131324608</v>
      </c>
      <c r="K7" s="19">
        <f>Depn!Y20</f>
        <v>8.1180543753545926</v>
      </c>
    </row>
    <row r="8" spans="1:11" x14ac:dyDescent="0.25">
      <c r="A8" s="10" t="s">
        <v>295</v>
      </c>
      <c r="B8" s="19">
        <f>'P&amp;L'!B27</f>
        <v>1.1021000000000001</v>
      </c>
      <c r="C8" s="19">
        <f>'P&amp;L'!C27</f>
        <v>1.1021000000000001</v>
      </c>
      <c r="D8" s="19">
        <f>'P&amp;L'!D27</f>
        <v>1.1021000000000001</v>
      </c>
      <c r="E8" s="19">
        <f>'P&amp;L'!E27</f>
        <v>1.1021000000000001</v>
      </c>
      <c r="F8" s="19">
        <f>'P&amp;L'!F27</f>
        <v>1.1021000000000001</v>
      </c>
      <c r="G8" s="19">
        <f>'P&amp;L'!G27</f>
        <v>1.1021000000000001</v>
      </c>
      <c r="H8" s="19">
        <f>'P&amp;L'!H27</f>
        <v>1.1021000000000001</v>
      </c>
      <c r="I8" s="19">
        <f>'P&amp;L'!I27</f>
        <v>1.1021000000000001</v>
      </c>
      <c r="J8" s="19">
        <f>'P&amp;L'!J27</f>
        <v>1.1021000000000001</v>
      </c>
      <c r="K8" s="19">
        <f>'P&amp;L'!K27</f>
        <v>1.1021000000000001</v>
      </c>
    </row>
    <row r="9" spans="1:11" x14ac:dyDescent="0.25">
      <c r="A9" s="10" t="s">
        <v>296</v>
      </c>
      <c r="B9" s="19">
        <f>B5+B6-B7-B8</f>
        <v>-5.1253364374999997</v>
      </c>
      <c r="C9" s="19">
        <f t="shared" ref="C9:K9" si="0">C5+C6-C7-C8</f>
        <v>5.9741412093750199</v>
      </c>
      <c r="D9" s="19">
        <f t="shared" si="0"/>
        <v>17.239743610468775</v>
      </c>
      <c r="E9" s="19">
        <f t="shared" si="0"/>
        <v>29.200744687867164</v>
      </c>
      <c r="F9" s="19">
        <f t="shared" si="0"/>
        <v>41.538691828510572</v>
      </c>
      <c r="G9" s="19">
        <f t="shared" si="0"/>
        <v>54.687594898061143</v>
      </c>
      <c r="H9" s="19">
        <f t="shared" si="0"/>
        <v>68.755352011901664</v>
      </c>
      <c r="I9" s="19">
        <f t="shared" si="0"/>
        <v>84.484781140168536</v>
      </c>
      <c r="J9" s="19">
        <f t="shared" si="0"/>
        <v>101.55393939408438</v>
      </c>
      <c r="K9" s="19">
        <f t="shared" si="0"/>
        <v>119.70056554284804</v>
      </c>
    </row>
    <row r="10" spans="1:11" x14ac:dyDescent="0.25">
      <c r="A10" s="10" t="s">
        <v>657</v>
      </c>
      <c r="B10" s="19">
        <f>+IF(B9&lt;0,-B9,0)</f>
        <v>5.1253364374999997</v>
      </c>
      <c r="C10" s="19">
        <f>+IF(C9&lt;0,-C9,0)</f>
        <v>0</v>
      </c>
      <c r="D10" s="19">
        <f t="shared" ref="D10:K10" si="1">+IF(D9&lt;0,-D9,0)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</row>
    <row r="11" spans="1:11" x14ac:dyDescent="0.25">
      <c r="A11" s="10" t="s">
        <v>658</v>
      </c>
      <c r="B11" s="19"/>
      <c r="C11" s="19">
        <f>+B10+C10</f>
        <v>5.1253364374999997</v>
      </c>
      <c r="D11" s="19">
        <v>0</v>
      </c>
      <c r="E11" s="19">
        <f>D11</f>
        <v>0</v>
      </c>
      <c r="F11" s="19">
        <f t="shared" ref="F11:K11" si="2">+E10</f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</row>
    <row r="12" spans="1:11" x14ac:dyDescent="0.25">
      <c r="A12" s="10" t="s">
        <v>659</v>
      </c>
      <c r="B12" s="19">
        <f t="shared" ref="B12:K12" si="3">+B9+B10-B11</f>
        <v>0</v>
      </c>
      <c r="C12" s="19">
        <f t="shared" si="3"/>
        <v>0.84880477187502024</v>
      </c>
      <c r="D12" s="19">
        <f t="shared" si="3"/>
        <v>17.239743610468775</v>
      </c>
      <c r="E12" s="19">
        <f t="shared" si="3"/>
        <v>29.200744687867164</v>
      </c>
      <c r="F12" s="19">
        <f t="shared" si="3"/>
        <v>41.538691828510572</v>
      </c>
      <c r="G12" s="19">
        <f t="shared" si="3"/>
        <v>54.687594898061143</v>
      </c>
      <c r="H12" s="19">
        <f t="shared" si="3"/>
        <v>68.755352011901664</v>
      </c>
      <c r="I12" s="19">
        <f t="shared" si="3"/>
        <v>84.484781140168536</v>
      </c>
      <c r="J12" s="19">
        <f t="shared" si="3"/>
        <v>101.55393939408438</v>
      </c>
      <c r="K12" s="19">
        <f t="shared" si="3"/>
        <v>119.70056554284804</v>
      </c>
    </row>
    <row r="13" spans="1:11" x14ac:dyDescent="0.25">
      <c r="A13" s="83" t="s">
        <v>611</v>
      </c>
      <c r="B13" s="22">
        <f>B12*0.3</f>
        <v>0</v>
      </c>
      <c r="C13" s="22">
        <f>C12*0.3</f>
        <v>0.25464143156250607</v>
      </c>
      <c r="D13" s="22">
        <f t="shared" ref="D13:K13" si="4">D12*0.3</f>
        <v>5.1719230831406326</v>
      </c>
      <c r="E13" s="22">
        <f t="shared" si="4"/>
        <v>8.760223406360149</v>
      </c>
      <c r="F13" s="22">
        <f t="shared" si="4"/>
        <v>12.461607548553172</v>
      </c>
      <c r="G13" s="22">
        <f t="shared" si="4"/>
        <v>16.406278469418343</v>
      </c>
      <c r="H13" s="22">
        <f t="shared" si="4"/>
        <v>20.6266056035705</v>
      </c>
      <c r="I13" s="22">
        <f t="shared" si="4"/>
        <v>25.345434342050559</v>
      </c>
      <c r="J13" s="22">
        <f t="shared" si="4"/>
        <v>30.466181818225312</v>
      </c>
      <c r="K13" s="22">
        <f t="shared" si="4"/>
        <v>35.910169662854408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topLeftCell="A50" zoomScale="60" zoomScaleNormal="100" workbookViewId="0">
      <selection activeCell="A4" sqref="A4:L50"/>
    </sheetView>
  </sheetViews>
  <sheetFormatPr defaultRowHeight="15" x14ac:dyDescent="0.25"/>
  <cols>
    <col min="1" max="1" width="29.7109375" style="84" bestFit="1" customWidth="1"/>
    <col min="2" max="3" width="11.28515625" style="84" bestFit="1" customWidth="1"/>
    <col min="4" max="7" width="11.85546875" style="84" bestFit="1" customWidth="1"/>
    <col min="8" max="8" width="11.28515625" style="84" bestFit="1" customWidth="1"/>
    <col min="9" max="10" width="11.85546875" style="84" bestFit="1" customWidth="1"/>
    <col min="11" max="11" width="11.28515625" style="84" bestFit="1" customWidth="1"/>
    <col min="12" max="12" width="11.85546875" style="84" bestFit="1" customWidth="1"/>
    <col min="13" max="16384" width="9.140625" style="84"/>
  </cols>
  <sheetData>
    <row r="1" spans="1:12" x14ac:dyDescent="0.25">
      <c r="A1" s="321"/>
      <c r="B1" s="321"/>
      <c r="C1" s="321"/>
      <c r="D1" s="321"/>
      <c r="E1" s="321"/>
      <c r="F1" s="321"/>
      <c r="G1" s="321"/>
    </row>
    <row r="2" spans="1:12" x14ac:dyDescent="0.25">
      <c r="A2" s="321" t="s">
        <v>297</v>
      </c>
      <c r="B2" s="321"/>
      <c r="C2" s="321"/>
      <c r="D2" s="321"/>
      <c r="E2" s="321"/>
      <c r="F2" s="321"/>
      <c r="G2" s="321"/>
      <c r="H2" s="321"/>
      <c r="I2" s="321"/>
    </row>
    <row r="4" spans="1:12" s="86" customFormat="1" x14ac:dyDescent="0.25">
      <c r="A4" s="222" t="s">
        <v>1</v>
      </c>
      <c r="B4" s="222" t="s">
        <v>450</v>
      </c>
      <c r="C4" s="222" t="s">
        <v>36</v>
      </c>
      <c r="D4" s="222" t="s">
        <v>37</v>
      </c>
      <c r="E4" s="222" t="s">
        <v>38</v>
      </c>
      <c r="F4" s="222" t="s">
        <v>39</v>
      </c>
      <c r="G4" s="222" t="s">
        <v>40</v>
      </c>
      <c r="H4" s="222" t="s">
        <v>41</v>
      </c>
      <c r="I4" s="222" t="s">
        <v>42</v>
      </c>
      <c r="J4" s="222" t="s">
        <v>499</v>
      </c>
      <c r="K4" s="222" t="s">
        <v>500</v>
      </c>
      <c r="L4" s="222" t="s">
        <v>501</v>
      </c>
    </row>
    <row r="5" spans="1:12" x14ac:dyDescent="0.25">
      <c r="A5" s="85" t="s">
        <v>298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299</v>
      </c>
      <c r="B7" s="180">
        <f>'Project Glance'!B19</f>
        <v>94.979497916666674</v>
      </c>
      <c r="C7" s="88">
        <f>'Project Glance'!B19</f>
        <v>94.979497916666674</v>
      </c>
      <c r="D7" s="88">
        <f>C7</f>
        <v>94.979497916666674</v>
      </c>
      <c r="E7" s="88">
        <f t="shared" ref="E7:I7" si="0">D7</f>
        <v>94.979497916666674</v>
      </c>
      <c r="F7" s="88">
        <f t="shared" si="0"/>
        <v>94.979497916666674</v>
      </c>
      <c r="G7" s="88">
        <f t="shared" si="0"/>
        <v>94.979497916666674</v>
      </c>
      <c r="H7" s="88">
        <f t="shared" si="0"/>
        <v>94.979497916666674</v>
      </c>
      <c r="I7" s="88">
        <f t="shared" si="0"/>
        <v>94.979497916666674</v>
      </c>
      <c r="J7" s="88">
        <f t="shared" ref="J7" si="1">I7</f>
        <v>94.979497916666674</v>
      </c>
      <c r="K7" s="88">
        <f t="shared" ref="K7" si="2">J7</f>
        <v>94.979497916666674</v>
      </c>
      <c r="L7" s="88">
        <f t="shared" ref="L7" si="3">K7</f>
        <v>94.979497916666674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300</v>
      </c>
      <c r="B9" s="89">
        <f t="shared" ref="B9:I9" si="4">SUM(B7:B8)</f>
        <v>94.979497916666674</v>
      </c>
      <c r="C9" s="89">
        <f t="shared" si="4"/>
        <v>94.979497916666674</v>
      </c>
      <c r="D9" s="89">
        <f t="shared" si="4"/>
        <v>94.979497916666674</v>
      </c>
      <c r="E9" s="89">
        <f t="shared" si="4"/>
        <v>94.979497916666674</v>
      </c>
      <c r="F9" s="89">
        <f t="shared" si="4"/>
        <v>94.979497916666674</v>
      </c>
      <c r="G9" s="89">
        <f t="shared" si="4"/>
        <v>94.979497916666674</v>
      </c>
      <c r="H9" s="89">
        <f t="shared" si="4"/>
        <v>94.979497916666674</v>
      </c>
      <c r="I9" s="89">
        <f t="shared" si="4"/>
        <v>94.979497916666674</v>
      </c>
      <c r="J9" s="89">
        <f t="shared" ref="J9:L9" si="5">SUM(J7:J8)</f>
        <v>94.979497916666674</v>
      </c>
      <c r="K9" s="89">
        <f t="shared" si="5"/>
        <v>94.979497916666674</v>
      </c>
      <c r="L9" s="89">
        <f t="shared" si="5"/>
        <v>94.979497916666674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301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327</v>
      </c>
      <c r="B13" s="180">
        <f>'Project Glance'!B20</f>
        <v>138.86460000000002</v>
      </c>
      <c r="C13" s="88">
        <f>B13</f>
        <v>138.86460000000002</v>
      </c>
      <c r="D13" s="88">
        <f t="shared" ref="D13:I13" si="6">C13</f>
        <v>138.86460000000002</v>
      </c>
      <c r="E13" s="88">
        <f t="shared" si="6"/>
        <v>138.86460000000002</v>
      </c>
      <c r="F13" s="88">
        <f t="shared" si="6"/>
        <v>138.86460000000002</v>
      </c>
      <c r="G13" s="88">
        <f t="shared" si="6"/>
        <v>138.86460000000002</v>
      </c>
      <c r="H13" s="88">
        <f t="shared" si="6"/>
        <v>138.86460000000002</v>
      </c>
      <c r="I13" s="88">
        <f t="shared" si="6"/>
        <v>138.86460000000002</v>
      </c>
      <c r="J13" s="88">
        <f t="shared" ref="J13" si="7">I13</f>
        <v>138.86460000000002</v>
      </c>
      <c r="K13" s="88">
        <f t="shared" ref="K13" si="8">J13</f>
        <v>138.86460000000002</v>
      </c>
      <c r="L13" s="88">
        <f t="shared" ref="L13" si="9">K13</f>
        <v>138.86460000000002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302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303</v>
      </c>
      <c r="B16" s="88">
        <v>0</v>
      </c>
      <c r="C16" s="88">
        <v>0</v>
      </c>
      <c r="D16" s="88">
        <f>C19</f>
        <v>12.9704415625</v>
      </c>
      <c r="E16" s="88">
        <f>D19</f>
        <v>33.264269340312509</v>
      </c>
      <c r="F16" s="88">
        <f>E19</f>
        <v>56.855665367640654</v>
      </c>
      <c r="G16" s="88">
        <f>F19</f>
        <v>86.174854524147662</v>
      </c>
      <c r="H16" s="88">
        <f t="shared" ref="H16:I16" si="10">G19</f>
        <v>121.83584399785505</v>
      </c>
      <c r="I16" s="88">
        <f t="shared" si="10"/>
        <v>164.70858526118536</v>
      </c>
      <c r="J16" s="88">
        <f t="shared" ref="J16" si="11">I19</f>
        <v>215.69740932700091</v>
      </c>
      <c r="K16" s="88">
        <f t="shared" ref="K16" si="12">J19</f>
        <v>276.19122369718059</v>
      </c>
      <c r="L16" s="88">
        <f t="shared" ref="L16" si="13">K19</f>
        <v>347.32311178617215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304</v>
      </c>
      <c r="B18" s="88">
        <v>0</v>
      </c>
      <c r="C18" s="88">
        <f>'P&amp;L'!B36</f>
        <v>12.9704415625</v>
      </c>
      <c r="D18" s="88">
        <f>'P&amp;L'!C36</f>
        <v>20.29382777781251</v>
      </c>
      <c r="E18" s="88">
        <f>'P&amp;L'!D36</f>
        <v>23.591396027328141</v>
      </c>
      <c r="F18" s="88">
        <f>'P&amp;L'!E36</f>
        <v>29.319189156507015</v>
      </c>
      <c r="G18" s="88">
        <f>'P&amp;L'!F36</f>
        <v>35.660989473707389</v>
      </c>
      <c r="H18" s="88">
        <f>'P&amp;L'!G36</f>
        <v>42.872741263330298</v>
      </c>
      <c r="I18" s="88">
        <f>'P&amp;L'!H36</f>
        <v>50.988824065815535</v>
      </c>
      <c r="J18" s="88">
        <f>'P&amp;L'!I36</f>
        <v>60.493814370179685</v>
      </c>
      <c r="K18" s="88">
        <f>'P&amp;L'!J36</f>
        <v>71.131888088991531</v>
      </c>
      <c r="L18" s="88">
        <f>'P&amp;L'!K36</f>
        <v>82.693228255348203</v>
      </c>
    </row>
    <row r="19" spans="1:92" x14ac:dyDescent="0.25">
      <c r="A19" s="77" t="s">
        <v>305</v>
      </c>
      <c r="B19" s="88">
        <f t="shared" ref="B19:G19" si="14">B16+B18</f>
        <v>0</v>
      </c>
      <c r="C19" s="88">
        <f t="shared" si="14"/>
        <v>12.9704415625</v>
      </c>
      <c r="D19" s="88">
        <f t="shared" si="14"/>
        <v>33.264269340312509</v>
      </c>
      <c r="E19" s="88">
        <f t="shared" si="14"/>
        <v>56.855665367640654</v>
      </c>
      <c r="F19" s="88">
        <f t="shared" si="14"/>
        <v>86.174854524147662</v>
      </c>
      <c r="G19" s="88">
        <f t="shared" si="14"/>
        <v>121.83584399785505</v>
      </c>
      <c r="H19" s="88">
        <f t="shared" ref="H19:I19" si="15">H16+H18</f>
        <v>164.70858526118536</v>
      </c>
      <c r="I19" s="88">
        <f t="shared" si="15"/>
        <v>215.69740932700091</v>
      </c>
      <c r="J19" s="88">
        <f t="shared" ref="J19:L19" si="16">J16+J18</f>
        <v>276.19122369718059</v>
      </c>
      <c r="K19" s="88">
        <f t="shared" si="16"/>
        <v>347.32311178617215</v>
      </c>
      <c r="L19" s="88">
        <f t="shared" si="16"/>
        <v>430.01634004152038</v>
      </c>
    </row>
    <row r="20" spans="1:92" x14ac:dyDescent="0.25">
      <c r="A20" s="77" t="s">
        <v>306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307</v>
      </c>
      <c r="B21" s="88">
        <v>0</v>
      </c>
      <c r="C21" s="88">
        <f>'WC Assessment'!C15</f>
        <v>7.2092937499999987</v>
      </c>
      <c r="D21" s="88">
        <f>'WC Assessment'!D15</f>
        <v>9.4654865624999989</v>
      </c>
      <c r="E21" s="88">
        <f>'WC Assessment'!E15</f>
        <v>10.916979328125</v>
      </c>
      <c r="F21" s="88">
        <f>'WC Assessment'!F15</f>
        <v>12.861146107031249</v>
      </c>
      <c r="G21" s="88">
        <f>'WC Assessment'!G15</f>
        <v>14.623395287382813</v>
      </c>
      <c r="H21" s="88">
        <f>'WC Assessment'!H15</f>
        <v>16.705156614251958</v>
      </c>
      <c r="I21" s="88">
        <f>'WC Assessment'!I15</f>
        <v>19.201549444964552</v>
      </c>
      <c r="J21" s="88">
        <f>'WC Assessment'!J15</f>
        <v>21.53938847971278</v>
      </c>
      <c r="K21" s="88">
        <f>'WC Assessment'!K15</f>
        <v>24.270439466198418</v>
      </c>
      <c r="L21" s="88">
        <f>'WC Assessment'!L15</f>
        <v>27.675312377008339</v>
      </c>
    </row>
    <row r="22" spans="1:92" x14ac:dyDescent="0.25">
      <c r="A22" s="77" t="s">
        <v>308</v>
      </c>
      <c r="B22" s="88">
        <v>0</v>
      </c>
      <c r="C22" s="88">
        <f>('P&amp;L'!B16+'P&amp;L'!B23+'P&amp;L'!B25)/12</f>
        <v>11.053441666666666</v>
      </c>
      <c r="D22" s="88">
        <f>('P&amp;L'!C16+'P&amp;L'!C23+'P&amp;L'!C25)/12</f>
        <v>12.173026250000001</v>
      </c>
      <c r="E22" s="88">
        <f>('P&amp;L'!D16+'P&amp;L'!D23+'P&amp;L'!D25)/12</f>
        <v>13.712069229166667</v>
      </c>
      <c r="F22" s="88">
        <f>('P&amp;L'!E16+'P&amp;L'!E23+'P&amp;L'!E25)/12</f>
        <v>15.339305190625</v>
      </c>
      <c r="G22" s="88">
        <f>('P&amp;L'!F16+'P&amp;L'!F23+'P&amp;L'!F25)/12</f>
        <v>17.083731283489584</v>
      </c>
      <c r="H22" s="88">
        <f>('P&amp;L'!G16+'P&amp;L'!G23+'P&amp;L'!G25)/12</f>
        <v>18.98690784766406</v>
      </c>
      <c r="I22" s="88">
        <f>('P&amp;L'!H16+'P&amp;L'!H23+'P&amp;L'!H25)/12</f>
        <v>21.000509073380599</v>
      </c>
      <c r="J22" s="88">
        <f>('P&amp;L'!I16+'P&amp;L'!I23+'P&amp;L'!I25)/12</f>
        <v>23.081848693716296</v>
      </c>
      <c r="K22" s="88">
        <f>('P&amp;L'!J16+'P&amp;L'!J23+'P&amp;L'!J25)/12</f>
        <v>25.384889045068778</v>
      </c>
      <c r="L22" s="88">
        <f>('P&amp;L'!K16+'P&amp;L'!K23+'P&amp;L'!K25)/12</f>
        <v>27.804425163988885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309</v>
      </c>
      <c r="B24" s="89">
        <f>SUM(B19:B22)+B9+B13</f>
        <v>233.8440979166667</v>
      </c>
      <c r="C24" s="89">
        <f>SUM(C19:C22)+C9+C13</f>
        <v>265.0772748958334</v>
      </c>
      <c r="D24" s="89">
        <f t="shared" ref="D24:L24" si="17">SUM(D19:D22)+D9+D13</f>
        <v>288.74688006947918</v>
      </c>
      <c r="E24" s="89">
        <f t="shared" si="17"/>
        <v>315.32881184159902</v>
      </c>
      <c r="F24" s="89">
        <f t="shared" si="17"/>
        <v>348.21940373847065</v>
      </c>
      <c r="G24" s="89">
        <f t="shared" si="17"/>
        <v>387.38706848539414</v>
      </c>
      <c r="H24" s="89">
        <f t="shared" si="17"/>
        <v>434.24474763976809</v>
      </c>
      <c r="I24" s="89">
        <f t="shared" si="17"/>
        <v>489.74356576201274</v>
      </c>
      <c r="J24" s="89">
        <f t="shared" si="17"/>
        <v>554.65655878727637</v>
      </c>
      <c r="K24" s="89">
        <f t="shared" si="17"/>
        <v>630.82253821410609</v>
      </c>
      <c r="L24" s="89">
        <f t="shared" si="17"/>
        <v>719.34017549918428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310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311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312</v>
      </c>
      <c r="B28" s="185">
        <f>'Project Glance'!B6+'Project Glance'!B7+'Project Glance'!B8+'Project Glance'!B9+'Project Glance'!B11</f>
        <v>220.42000000000002</v>
      </c>
      <c r="C28" s="88">
        <f>Depn!C19</f>
        <v>220.42000000000002</v>
      </c>
      <c r="D28" s="88">
        <f>Depn!D19</f>
        <v>210.10267800000003</v>
      </c>
      <c r="E28" s="88">
        <f>Depn!E19</f>
        <v>199.78535600000004</v>
      </c>
      <c r="F28" s="88">
        <f>Depn!F19</f>
        <v>189.46803400000005</v>
      </c>
      <c r="G28" s="88">
        <f>Depn!G19</f>
        <v>179.15071200000006</v>
      </c>
      <c r="H28" s="88">
        <f>Depn!H19</f>
        <v>168.83339000000007</v>
      </c>
      <c r="I28" s="88">
        <f>Depn!I19</f>
        <v>158.51606800000008</v>
      </c>
      <c r="J28" s="88">
        <f>Depn!J19</f>
        <v>148.19874600000009</v>
      </c>
      <c r="K28" s="88">
        <f>Depn!K19</f>
        <v>137.8814240000001</v>
      </c>
      <c r="L28" s="88">
        <f>Depn!L19</f>
        <v>127.56410200000008</v>
      </c>
    </row>
    <row r="29" spans="1:92" x14ac:dyDescent="0.25">
      <c r="A29" s="76" t="s">
        <v>454</v>
      </c>
      <c r="B29" s="186">
        <v>0</v>
      </c>
      <c r="C29" s="88">
        <f>Depn!C20</f>
        <v>10.317322000000001</v>
      </c>
      <c r="D29" s="88">
        <f>Depn!D20</f>
        <v>10.317322000000001</v>
      </c>
      <c r="E29" s="88">
        <f>Depn!E20</f>
        <v>10.317322000000001</v>
      </c>
      <c r="F29" s="88">
        <f>Depn!F20</f>
        <v>10.317322000000001</v>
      </c>
      <c r="G29" s="88">
        <f>Depn!G20</f>
        <v>10.317322000000001</v>
      </c>
      <c r="H29" s="88">
        <f>Depn!H20</f>
        <v>10.317322000000001</v>
      </c>
      <c r="I29" s="88">
        <f>Depn!I20</f>
        <v>10.317322000000001</v>
      </c>
      <c r="J29" s="88">
        <f>Depn!J20</f>
        <v>10.317322000000001</v>
      </c>
      <c r="K29" s="88">
        <f>Depn!K20</f>
        <v>10.317322000000001</v>
      </c>
      <c r="L29" s="88">
        <f>Depn!L20</f>
        <v>10.317322000000001</v>
      </c>
    </row>
    <row r="30" spans="1:92" x14ac:dyDescent="0.25">
      <c r="A30" s="87" t="s">
        <v>313</v>
      </c>
      <c r="B30" s="186">
        <f>B28-B29</f>
        <v>220.42000000000002</v>
      </c>
      <c r="C30" s="88">
        <f>Depn!C21</f>
        <v>210.10267800000003</v>
      </c>
      <c r="D30" s="88">
        <f>Depn!D21</f>
        <v>199.78535600000004</v>
      </c>
      <c r="E30" s="88">
        <f>Depn!E21</f>
        <v>189.46803400000005</v>
      </c>
      <c r="F30" s="88">
        <f>Depn!F21</f>
        <v>179.15071200000006</v>
      </c>
      <c r="G30" s="88">
        <f>Depn!G21</f>
        <v>168.83339000000007</v>
      </c>
      <c r="H30" s="88">
        <f>Depn!H21</f>
        <v>158.51606800000008</v>
      </c>
      <c r="I30" s="88">
        <f>Depn!I21</f>
        <v>148.19874600000009</v>
      </c>
      <c r="J30" s="88">
        <f>Depn!J21</f>
        <v>137.8814240000001</v>
      </c>
      <c r="K30" s="88">
        <f>Depn!K21</f>
        <v>127.56410200000008</v>
      </c>
      <c r="L30" s="88">
        <f>Depn!L21</f>
        <v>117.24678000000009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314</v>
      </c>
      <c r="B32" s="185">
        <f>'Project Glance'!B10</f>
        <v>11.021000000000001</v>
      </c>
      <c r="C32" s="88">
        <f>B32-'P&amp;L'!B27</f>
        <v>9.9189000000000007</v>
      </c>
      <c r="D32" s="88">
        <f>C32-'P&amp;L'!C27</f>
        <v>8.8168000000000006</v>
      </c>
      <c r="E32" s="88">
        <f>D32-'P&amp;L'!D27</f>
        <v>7.7147000000000006</v>
      </c>
      <c r="F32" s="88">
        <f>E32-'P&amp;L'!E27</f>
        <v>6.6126000000000005</v>
      </c>
      <c r="G32" s="88">
        <f>F32-'P&amp;L'!F27</f>
        <v>5.5105000000000004</v>
      </c>
      <c r="H32" s="88">
        <f>G32-'P&amp;L'!G27</f>
        <v>4.4084000000000003</v>
      </c>
      <c r="I32" s="88">
        <f>H32-'P&amp;L'!H27</f>
        <v>3.3063000000000002</v>
      </c>
      <c r="J32" s="88">
        <f>I32-'P&amp;L'!I27</f>
        <v>2.2042000000000002</v>
      </c>
      <c r="K32" s="88">
        <f>J32-'P&amp;L'!J27</f>
        <v>1.1021000000000001</v>
      </c>
      <c r="L32" s="88">
        <f>K32-'P&amp;L'!K27</f>
        <v>0</v>
      </c>
    </row>
    <row r="33" spans="1:12" x14ac:dyDescent="0.25">
      <c r="A33" s="87" t="s">
        <v>21</v>
      </c>
      <c r="B33" s="185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315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316</v>
      </c>
      <c r="B36" s="88">
        <v>0</v>
      </c>
      <c r="C36" s="88">
        <f>'P&amp;L'!B9/12</f>
        <v>12.455833333333333</v>
      </c>
      <c r="D36" s="88">
        <f>'P&amp;L'!C9/12</f>
        <v>14.755675000000002</v>
      </c>
      <c r="E36" s="88">
        <f>'P&amp;L'!D9/12</f>
        <v>17.043641666666669</v>
      </c>
      <c r="F36" s="88">
        <f>'P&amp;L'!E9/12</f>
        <v>19.405899999999999</v>
      </c>
      <c r="G36" s="88">
        <f>'P&amp;L'!F9/12</f>
        <v>22.032991666666671</v>
      </c>
      <c r="H36" s="88">
        <f>'P&amp;L'!G9/12</f>
        <v>24.848450000000003</v>
      </c>
      <c r="I36" s="88">
        <f>'P&amp;L'!H9/12</f>
        <v>27.870775000000005</v>
      </c>
      <c r="J36" s="88">
        <f>'P&amp;L'!I9/12</f>
        <v>31.191833333333332</v>
      </c>
      <c r="K36" s="88">
        <f>'P&amp;L'!J9/12</f>
        <v>34.789475000000003</v>
      </c>
      <c r="L36" s="88">
        <f>'P&amp;L'!K9/12</f>
        <v>38.583441666666666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83</v>
      </c>
      <c r="B39" s="184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317</v>
      </c>
      <c r="B40" s="88">
        <v>0</v>
      </c>
      <c r="C40" s="88">
        <f>'CS-FG'!C52</f>
        <v>4.47</v>
      </c>
      <c r="D40" s="88">
        <f>'CS-FG'!D52</f>
        <v>5.88</v>
      </c>
      <c r="E40" s="88">
        <f>'CS-FG'!E52</f>
        <v>6.3723999999999998</v>
      </c>
      <c r="F40" s="88">
        <f>'CS-FG'!F52</f>
        <v>7.4782000000000002</v>
      </c>
      <c r="G40" s="88">
        <f>'CS-FG'!G52</f>
        <v>8.3984000000000005</v>
      </c>
      <c r="H40" s="88">
        <f>'CS-FG'!H52</f>
        <v>9.3920000000000012</v>
      </c>
      <c r="I40" s="88">
        <f>'CS-FG'!I52</f>
        <v>10.7722</v>
      </c>
      <c r="J40" s="88">
        <f>'CS-FG'!J52</f>
        <v>11.943199999999999</v>
      </c>
      <c r="K40" s="88">
        <f>'CS-FG'!K52</f>
        <v>13.206</v>
      </c>
      <c r="L40" s="88">
        <f>'CS-FG'!L52</f>
        <v>15.199799999999998</v>
      </c>
    </row>
    <row r="41" spans="1:12" x14ac:dyDescent="0.25">
      <c r="A41" s="77" t="s">
        <v>318</v>
      </c>
      <c r="B41" s="88">
        <v>0</v>
      </c>
      <c r="C41" s="88">
        <f>'CS-RM'!B16</f>
        <v>3.74</v>
      </c>
      <c r="D41" s="88">
        <f>'CS-RM'!C16</f>
        <v>4.1580000000000004</v>
      </c>
      <c r="E41" s="88">
        <f>'CS-RM'!D16</f>
        <v>4.8520000000000003</v>
      </c>
      <c r="F41" s="88">
        <f>'CS-RM'!E16</f>
        <v>5.6033999999999997</v>
      </c>
      <c r="G41" s="88">
        <f>'CS-RM'!F16</f>
        <v>6.1501999999999999</v>
      </c>
      <c r="H41" s="88">
        <f>'CS-RM'!G16</f>
        <v>7.02</v>
      </c>
      <c r="I41" s="88">
        <f>'CS-RM'!H16</f>
        <v>7.9596</v>
      </c>
      <c r="J41" s="88">
        <f>'CS-RM'!I16</f>
        <v>8.6660000000000004</v>
      </c>
      <c r="K41" s="88">
        <f>'CS-RM'!J16</f>
        <v>9.75</v>
      </c>
      <c r="L41" s="88">
        <f>'CS-RM'!K16</f>
        <v>10.9216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8.2100000000000009</v>
      </c>
      <c r="D43" s="88">
        <f>SUM(D40:D41)</f>
        <v>10.038</v>
      </c>
      <c r="E43" s="88">
        <f>SUM(E40:E41)</f>
        <v>11.224399999999999</v>
      </c>
      <c r="F43" s="88">
        <f>SUM(F40:F41)</f>
        <v>13.0816</v>
      </c>
      <c r="G43" s="88">
        <f>SUM(G40:G41)</f>
        <v>14.5486</v>
      </c>
      <c r="H43" s="88">
        <f t="shared" ref="H43:L43" si="22">SUM(H40:H41)</f>
        <v>16.411999999999999</v>
      </c>
      <c r="I43" s="88">
        <f t="shared" si="22"/>
        <v>18.7318</v>
      </c>
      <c r="J43" s="88">
        <f t="shared" si="22"/>
        <v>20.609200000000001</v>
      </c>
      <c r="K43" s="88">
        <f t="shared" si="22"/>
        <v>22.956</v>
      </c>
      <c r="L43" s="88">
        <f t="shared" si="22"/>
        <v>26.121399999999998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461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319</v>
      </c>
      <c r="B47" s="88">
        <f>CF!C35</f>
        <v>2.4030979166666668</v>
      </c>
      <c r="C47" s="88">
        <f>CF!D35</f>
        <v>24.389863562499983</v>
      </c>
      <c r="D47" s="88">
        <f>CF!E35</f>
        <v>55.351049069479132</v>
      </c>
      <c r="E47" s="88">
        <f>CF!F35</f>
        <v>89.878036174932248</v>
      </c>
      <c r="F47" s="88">
        <f>CF!G35</f>
        <v>129.96859173847051</v>
      </c>
      <c r="G47" s="88">
        <f>CF!H35</f>
        <v>176.46158681872737</v>
      </c>
      <c r="H47" s="88">
        <f>CF!I35</f>
        <v>230.05982963976794</v>
      </c>
      <c r="I47" s="88">
        <f>CF!J35</f>
        <v>291.63594476201257</v>
      </c>
      <c r="J47" s="88">
        <f>CF!K35</f>
        <v>362.76990145394291</v>
      </c>
      <c r="K47" s="88">
        <f>CF!L35</f>
        <v>444.41086121410581</v>
      </c>
      <c r="L47" s="88">
        <f>CF!M35</f>
        <v>537.38855383251735</v>
      </c>
    </row>
    <row r="48" spans="1:12" x14ac:dyDescent="0.25">
      <c r="A48" s="77" t="s">
        <v>320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321</v>
      </c>
      <c r="B50" s="89">
        <f>SUM(B30:B47)</f>
        <v>233.8440979166667</v>
      </c>
      <c r="C50" s="89">
        <f>SUM(C30:C41)+C47</f>
        <v>265.0772748958334</v>
      </c>
      <c r="D50" s="89">
        <f t="shared" ref="D50:L50" si="23">SUM(D30:D41)+D47</f>
        <v>288.74688006947918</v>
      </c>
      <c r="E50" s="89">
        <f t="shared" si="23"/>
        <v>315.32881184159896</v>
      </c>
      <c r="F50" s="89">
        <f t="shared" si="23"/>
        <v>348.21940373847053</v>
      </c>
      <c r="G50" s="89">
        <f t="shared" si="23"/>
        <v>387.38706848539414</v>
      </c>
      <c r="H50" s="89">
        <f t="shared" si="23"/>
        <v>434.24474763976804</v>
      </c>
      <c r="I50" s="89">
        <f t="shared" si="23"/>
        <v>489.74356576201262</v>
      </c>
      <c r="J50" s="89">
        <f t="shared" si="23"/>
        <v>554.65655878727637</v>
      </c>
      <c r="K50" s="89">
        <f t="shared" si="23"/>
        <v>630.82253821410586</v>
      </c>
      <c r="L50" s="89">
        <f t="shared" si="23"/>
        <v>719.34017549918417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0</v>
      </c>
      <c r="G52" s="98">
        <f t="shared" si="24"/>
        <v>0</v>
      </c>
      <c r="H52" s="98">
        <f t="shared" ref="H52:L52" si="25">H50-H24</f>
        <v>0</v>
      </c>
      <c r="I52" s="98">
        <f t="shared" si="25"/>
        <v>0</v>
      </c>
      <c r="J52" s="98">
        <f t="shared" si="25"/>
        <v>0</v>
      </c>
      <c r="K52" s="98">
        <f t="shared" si="25"/>
        <v>0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8" zoomScale="60" zoomScaleNormal="100" workbookViewId="0">
      <selection activeCell="M35" sqref="A3:M35"/>
    </sheetView>
  </sheetViews>
  <sheetFormatPr defaultRowHeight="15" x14ac:dyDescent="0.25"/>
  <cols>
    <col min="1" max="1" width="5.42578125" style="104" bestFit="1" customWidth="1"/>
    <col min="2" max="2" width="38.42578125" style="104" customWidth="1"/>
    <col min="3" max="3" width="10.85546875" style="104" bestFit="1" customWidth="1"/>
    <col min="4" max="13" width="11.28515625" style="104" bestFit="1" customWidth="1"/>
    <col min="14" max="16384" width="9.140625" style="104"/>
  </cols>
  <sheetData>
    <row r="1" spans="1:13" x14ac:dyDescent="0.25">
      <c r="A1" s="322" t="s">
        <v>322</v>
      </c>
      <c r="B1" s="323"/>
      <c r="C1" s="323"/>
      <c r="D1" s="323"/>
      <c r="E1" s="323"/>
      <c r="F1" s="323"/>
      <c r="G1" s="323"/>
      <c r="H1" s="323"/>
      <c r="I1" s="323"/>
      <c r="J1" s="323"/>
    </row>
    <row r="3" spans="1:13" x14ac:dyDescent="0.25">
      <c r="A3" s="118" t="s">
        <v>675</v>
      </c>
      <c r="B3" s="118" t="s">
        <v>1</v>
      </c>
      <c r="C3" s="118" t="s">
        <v>450</v>
      </c>
      <c r="D3" s="118" t="s">
        <v>36</v>
      </c>
      <c r="E3" s="118" t="s">
        <v>37</v>
      </c>
      <c r="F3" s="118" t="s">
        <v>38</v>
      </c>
      <c r="G3" s="118" t="s">
        <v>39</v>
      </c>
      <c r="H3" s="118" t="s">
        <v>40</v>
      </c>
      <c r="I3" s="118" t="s">
        <v>41</v>
      </c>
      <c r="J3" s="118" t="s">
        <v>42</v>
      </c>
      <c r="K3" s="118" t="s">
        <v>499</v>
      </c>
      <c r="L3" s="118" t="s">
        <v>500</v>
      </c>
      <c r="M3" s="118" t="s">
        <v>501</v>
      </c>
    </row>
    <row r="4" spans="1:13" x14ac:dyDescent="0.25">
      <c r="A4" s="105">
        <v>1</v>
      </c>
      <c r="B4" s="105" t="s">
        <v>323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324</v>
      </c>
      <c r="C5" s="113">
        <v>0</v>
      </c>
      <c r="D5" s="107">
        <f>'P&amp;L'!B9</f>
        <v>149.47</v>
      </c>
      <c r="E5" s="107">
        <f>'P&amp;L'!C9</f>
        <v>177.06810000000002</v>
      </c>
      <c r="F5" s="107">
        <f>'P&amp;L'!D9</f>
        <v>204.52370000000002</v>
      </c>
      <c r="G5" s="107">
        <f>'P&amp;L'!E9</f>
        <v>232.8708</v>
      </c>
      <c r="H5" s="107">
        <f>'P&amp;L'!F9</f>
        <v>264.39590000000004</v>
      </c>
      <c r="I5" s="107">
        <f>'P&amp;L'!G9</f>
        <v>298.18140000000005</v>
      </c>
      <c r="J5" s="107">
        <f>'P&amp;L'!H9</f>
        <v>334.44930000000005</v>
      </c>
      <c r="K5" s="107">
        <f>'P&amp;L'!I9</f>
        <v>374.30199999999996</v>
      </c>
      <c r="L5" s="107">
        <f>'P&amp;L'!J9</f>
        <v>417.47370000000001</v>
      </c>
      <c r="M5" s="107">
        <f>'P&amp;L'!K9</f>
        <v>463.00130000000001</v>
      </c>
    </row>
    <row r="6" spans="1:13" x14ac:dyDescent="0.25">
      <c r="A6" s="105">
        <v>2</v>
      </c>
      <c r="B6" s="105" t="s">
        <v>325</v>
      </c>
      <c r="C6" s="181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299</v>
      </c>
      <c r="C7" s="181">
        <f>BS!B7</f>
        <v>94.979497916666674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326</v>
      </c>
      <c r="C8" s="105"/>
      <c r="D8" s="108">
        <f>BS!C21</f>
        <v>7.2092937499999987</v>
      </c>
      <c r="E8" s="108">
        <f>BS!D21-BS!C21</f>
        <v>2.2561928125000001</v>
      </c>
      <c r="F8" s="108">
        <f>BS!E21-BS!D21</f>
        <v>1.4514927656250016</v>
      </c>
      <c r="G8" s="108">
        <f>BS!F21-BS!E21</f>
        <v>1.9441667789062489</v>
      </c>
      <c r="H8" s="108">
        <f>BS!G21-BS!F21</f>
        <v>1.7622491803515636</v>
      </c>
      <c r="I8" s="108">
        <f>BS!H21-BS!G21</f>
        <v>2.0817613268691453</v>
      </c>
      <c r="J8" s="108">
        <f>BS!I21-BS!H21</f>
        <v>2.496392830712594</v>
      </c>
      <c r="K8" s="108">
        <f>BS!J21-BS!I21</f>
        <v>2.3378390347482281</v>
      </c>
      <c r="L8" s="108">
        <f>BS!K21-BS!J21</f>
        <v>2.7310509864856378</v>
      </c>
      <c r="M8" s="108">
        <f>BS!L21-BS!K21</f>
        <v>3.4048729108099209</v>
      </c>
    </row>
    <row r="9" spans="1:13" x14ac:dyDescent="0.25">
      <c r="A9" s="105">
        <v>5</v>
      </c>
      <c r="B9" s="105" t="s">
        <v>327</v>
      </c>
      <c r="C9" s="181">
        <f>BS!B13</f>
        <v>138.86460000000002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x14ac:dyDescent="0.25">
      <c r="A10" s="105">
        <v>6</v>
      </c>
      <c r="B10" s="105" t="s">
        <v>328</v>
      </c>
      <c r="C10" s="105"/>
      <c r="D10" s="108">
        <f>BS!C22</f>
        <v>11.053441666666666</v>
      </c>
      <c r="E10" s="108">
        <f>BS!D22-BS!C22</f>
        <v>1.1195845833333351</v>
      </c>
      <c r="F10" s="108">
        <f>BS!E22-BS!D22</f>
        <v>1.5390429791666662</v>
      </c>
      <c r="G10" s="108">
        <f>BS!F22-BS!E22</f>
        <v>1.6272359614583323</v>
      </c>
      <c r="H10" s="108">
        <f>BS!G22-BS!F22</f>
        <v>1.7444260928645843</v>
      </c>
      <c r="I10" s="108">
        <f>BS!H22-BS!G22</f>
        <v>1.9031765641744762</v>
      </c>
      <c r="J10" s="108">
        <f>BS!I22-BS!H22</f>
        <v>2.0136012257165383</v>
      </c>
      <c r="K10" s="108">
        <f>BS!J22-BS!I22</f>
        <v>2.0813396203356973</v>
      </c>
      <c r="L10" s="108">
        <f>BS!K22-BS!J22</f>
        <v>2.3030403513524824</v>
      </c>
      <c r="M10" s="108">
        <f>BS!L22-BS!K22</f>
        <v>2.4195361189201066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329</v>
      </c>
      <c r="C12" s="109">
        <f>SUM(C5:C11)</f>
        <v>233.8440979166667</v>
      </c>
      <c r="D12" s="109">
        <f>SUM(D5:D11)</f>
        <v>167.73273541666666</v>
      </c>
      <c r="E12" s="109">
        <f t="shared" ref="E12:M12" si="0">SUM(E5:E11)</f>
        <v>180.44387739583334</v>
      </c>
      <c r="F12" s="109">
        <f t="shared" si="0"/>
        <v>207.51423574479168</v>
      </c>
      <c r="G12" s="109">
        <f t="shared" si="0"/>
        <v>236.44220274036456</v>
      </c>
      <c r="H12" s="109">
        <f t="shared" si="0"/>
        <v>267.90257527321614</v>
      </c>
      <c r="I12" s="109">
        <f t="shared" si="0"/>
        <v>302.16633789104367</v>
      </c>
      <c r="J12" s="109">
        <f t="shared" si="0"/>
        <v>338.95929405642914</v>
      </c>
      <c r="K12" s="109">
        <f t="shared" si="0"/>
        <v>378.72117865508392</v>
      </c>
      <c r="L12" s="109">
        <f t="shared" si="0"/>
        <v>422.50779133783811</v>
      </c>
      <c r="M12" s="109">
        <f t="shared" si="0"/>
        <v>468.82570902973004</v>
      </c>
    </row>
    <row r="13" spans="1:13" x14ac:dyDescent="0.25">
      <c r="A13" s="324" t="s">
        <v>330</v>
      </c>
      <c r="B13" s="324"/>
      <c r="C13" s="110"/>
      <c r="D13" s="111"/>
      <c r="E13" s="111"/>
      <c r="F13" s="111"/>
      <c r="G13" s="111"/>
      <c r="H13" s="111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331</v>
      </c>
      <c r="C14" s="105"/>
      <c r="D14" s="111"/>
      <c r="E14" s="111"/>
      <c r="F14" s="111"/>
      <c r="G14" s="111"/>
      <c r="H14" s="111"/>
      <c r="I14" s="36"/>
      <c r="J14" s="36"/>
      <c r="K14" s="36"/>
      <c r="L14" s="36"/>
      <c r="M14" s="36"/>
    </row>
    <row r="15" spans="1:13" x14ac:dyDescent="0.25">
      <c r="A15" s="112" t="s">
        <v>332</v>
      </c>
      <c r="B15" s="111" t="s">
        <v>435</v>
      </c>
      <c r="C15" s="182">
        <f>'Project Glance'!B6+'Project Glance'!B7+'Project Glance'!B8+'Project Glance'!B9</f>
        <v>220.42000000000002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2" t="s">
        <v>333</v>
      </c>
      <c r="B16" s="111" t="s">
        <v>335</v>
      </c>
      <c r="C16" s="182">
        <f>'Project Glance'!B10</f>
        <v>11.021000000000001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2" t="s">
        <v>334</v>
      </c>
      <c r="B17" s="111" t="s">
        <v>21</v>
      </c>
      <c r="C17" s="182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2" t="s">
        <v>436</v>
      </c>
      <c r="B18" s="111" t="s">
        <v>437</v>
      </c>
      <c r="C18" s="182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2"/>
      <c r="B19" s="111"/>
      <c r="C19" s="111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x14ac:dyDescent="0.25">
      <c r="A20" s="105">
        <v>2</v>
      </c>
      <c r="B20" s="105" t="s">
        <v>336</v>
      </c>
      <c r="C20" s="105"/>
      <c r="D20" s="111"/>
      <c r="E20" s="111"/>
      <c r="F20" s="111"/>
      <c r="G20" s="111"/>
      <c r="H20" s="111"/>
      <c r="I20" s="36"/>
      <c r="J20" s="36"/>
      <c r="K20" s="36"/>
      <c r="L20" s="36"/>
      <c r="M20" s="36"/>
    </row>
    <row r="21" spans="1:13" x14ac:dyDescent="0.25">
      <c r="A21" s="112" t="s">
        <v>332</v>
      </c>
      <c r="B21" s="111" t="s">
        <v>337</v>
      </c>
      <c r="C21" s="111"/>
      <c r="D21" s="108">
        <f>'P&amp;L'!B23</f>
        <v>24.1203</v>
      </c>
      <c r="E21" s="108">
        <f>'P&amp;L'!C23</f>
        <v>25.326315000000001</v>
      </c>
      <c r="F21" s="108">
        <f>'P&amp;L'!D23</f>
        <v>26.592630750000005</v>
      </c>
      <c r="G21" s="108">
        <f>'P&amp;L'!E23</f>
        <v>27.922262287500011</v>
      </c>
      <c r="H21" s="108">
        <f>'P&amp;L'!F23</f>
        <v>29.318375401875002</v>
      </c>
      <c r="I21" s="108">
        <f>'P&amp;L'!G23</f>
        <v>30.78429417196876</v>
      </c>
      <c r="J21" s="108">
        <f>'P&amp;L'!H23</f>
        <v>32.323508880567196</v>
      </c>
      <c r="K21" s="108">
        <f>'P&amp;L'!I23</f>
        <v>33.939684324595561</v>
      </c>
      <c r="L21" s="108">
        <f>'P&amp;L'!J23</f>
        <v>35.636668540825333</v>
      </c>
      <c r="M21" s="108">
        <f>'P&amp;L'!K23</f>
        <v>37.418501967866611</v>
      </c>
    </row>
    <row r="22" spans="1:13" x14ac:dyDescent="0.25">
      <c r="A22" s="112" t="s">
        <v>333</v>
      </c>
      <c r="B22" s="111" t="s">
        <v>338</v>
      </c>
      <c r="C22" s="111"/>
      <c r="D22" s="107">
        <f>'P&amp;L'!B25</f>
        <v>16.780999999999999</v>
      </c>
      <c r="E22" s="107">
        <f>'P&amp;L'!C25</f>
        <v>18.879000000000005</v>
      </c>
      <c r="F22" s="107">
        <f>'P&amp;L'!D25</f>
        <v>21.018999999999998</v>
      </c>
      <c r="G22" s="107">
        <f>'P&amp;L'!E25</f>
        <v>23.196000000000002</v>
      </c>
      <c r="H22" s="107">
        <f>'P&amp;L'!F25</f>
        <v>25.675000000000001</v>
      </c>
      <c r="I22" s="107">
        <f>'P&amp;L'!G25</f>
        <v>28.017000000000007</v>
      </c>
      <c r="J22" s="107">
        <f>'P&amp;L'!H25</f>
        <v>30.421000000000006</v>
      </c>
      <c r="K22" s="107">
        <f>'P&amp;L'!I25</f>
        <v>32.273000000000003</v>
      </c>
      <c r="L22" s="107">
        <f>'P&amp;L'!J25</f>
        <v>34.332000000000008</v>
      </c>
      <c r="M22" s="107">
        <f>'P&amp;L'!K25</f>
        <v>36.163999999999994</v>
      </c>
    </row>
    <row r="23" spans="1:13" x14ac:dyDescent="0.25">
      <c r="A23" s="112" t="s">
        <v>334</v>
      </c>
      <c r="B23" s="111" t="s">
        <v>349</v>
      </c>
      <c r="C23" s="111"/>
      <c r="D23" s="107">
        <f>'P&amp;L'!B16</f>
        <v>91.74</v>
      </c>
      <c r="E23" s="107">
        <f>'P&amp;L'!C16</f>
        <v>101.871</v>
      </c>
      <c r="F23" s="107">
        <f>'P&amp;L'!D16</f>
        <v>116.9332</v>
      </c>
      <c r="G23" s="107">
        <f>'P&amp;L'!E16</f>
        <v>132.95339999999999</v>
      </c>
      <c r="H23" s="107">
        <f>'P&amp;L'!F16</f>
        <v>150.01140000000001</v>
      </c>
      <c r="I23" s="107">
        <f>'P&amp;L'!G16</f>
        <v>169.04159999999999</v>
      </c>
      <c r="J23" s="107">
        <f>'P&amp;L'!H16</f>
        <v>189.26159999999999</v>
      </c>
      <c r="K23" s="107">
        <f>'P&amp;L'!I16</f>
        <v>210.76949999999999</v>
      </c>
      <c r="L23" s="107">
        <f>'P&amp;L'!J16</f>
        <v>234.65</v>
      </c>
      <c r="M23" s="107">
        <f>'P&amp;L'!K16</f>
        <v>260.07060000000001</v>
      </c>
    </row>
    <row r="24" spans="1:13" hidden="1" x14ac:dyDescent="0.25">
      <c r="A24" s="112" t="s">
        <v>436</v>
      </c>
      <c r="B24" s="111" t="s">
        <v>461</v>
      </c>
      <c r="C24" s="111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339</v>
      </c>
      <c r="C25" s="105"/>
      <c r="D25" s="183">
        <f>BS!B20-BS!C20</f>
        <v>0</v>
      </c>
      <c r="E25" s="183">
        <f>BS!C20-BS!D20</f>
        <v>0</v>
      </c>
      <c r="F25" s="183">
        <f>BS!D20-BS!E20</f>
        <v>0</v>
      </c>
      <c r="G25" s="183">
        <f>BS!E20-BS!F20</f>
        <v>0</v>
      </c>
      <c r="H25" s="183">
        <f>BS!F20-BS!G20</f>
        <v>0</v>
      </c>
      <c r="I25" s="183">
        <f>BS!G20-BS!H20</f>
        <v>0</v>
      </c>
      <c r="J25" s="183">
        <f>BS!H20-BS!I20</f>
        <v>0</v>
      </c>
      <c r="K25" s="183">
        <f>BS!I20-BS!J20</f>
        <v>0</v>
      </c>
      <c r="L25" s="183">
        <f>BS!J20-BS!K20</f>
        <v>0</v>
      </c>
      <c r="M25" s="183">
        <f>BS!K20-BS!L20</f>
        <v>0</v>
      </c>
    </row>
    <row r="26" spans="1:13" x14ac:dyDescent="0.25">
      <c r="A26" s="112" t="s">
        <v>332</v>
      </c>
      <c r="B26" s="111" t="s">
        <v>340</v>
      </c>
      <c r="C26" s="111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2" t="s">
        <v>333</v>
      </c>
      <c r="B27" s="111" t="s">
        <v>341</v>
      </c>
      <c r="C27" s="111"/>
      <c r="D27" s="108">
        <f>'P&amp;L'!B31</f>
        <v>0.64883643749999986</v>
      </c>
      <c r="E27" s="108">
        <f>'P&amp;L'!C31</f>
        <v>0.85189379062499981</v>
      </c>
      <c r="F27" s="108">
        <f>'P&amp;L'!D31</f>
        <v>0.98252813953124996</v>
      </c>
      <c r="G27" s="108">
        <f>'P&amp;L'!E31</f>
        <v>1.1575031496328123</v>
      </c>
      <c r="H27" s="108">
        <f>'P&amp;L'!F31</f>
        <v>1.3161055758644531</v>
      </c>
      <c r="I27" s="108">
        <f>'P&amp;L'!G31</f>
        <v>1.5034640952826761</v>
      </c>
      <c r="J27" s="108">
        <f>'P&amp;L'!H31</f>
        <v>1.7281394500468097</v>
      </c>
      <c r="K27" s="108">
        <f>'P&amp;L'!I31</f>
        <v>1.9385449631741503</v>
      </c>
      <c r="L27" s="108">
        <f>'P&amp;L'!J31</f>
        <v>2.1843395519578577</v>
      </c>
      <c r="M27" s="108">
        <f>'P&amp;L'!K31</f>
        <v>2.4907781139307503</v>
      </c>
    </row>
    <row r="28" spans="1:13" x14ac:dyDescent="0.25">
      <c r="A28" s="105">
        <v>4</v>
      </c>
      <c r="B28" s="105" t="s">
        <v>342</v>
      </c>
      <c r="C28" s="105"/>
      <c r="D28" s="108">
        <f>BS!C36</f>
        <v>12.455833333333333</v>
      </c>
      <c r="E28" s="108">
        <f>BS!D36-BS!C36</f>
        <v>2.2998416666666692</v>
      </c>
      <c r="F28" s="108">
        <f>BS!E36-BS!D36</f>
        <v>2.2879666666666676</v>
      </c>
      <c r="G28" s="108">
        <f>BS!F36-BS!E36</f>
        <v>2.3622583333333296</v>
      </c>
      <c r="H28" s="108">
        <f>BS!G36-BS!F36</f>
        <v>2.6270916666666722</v>
      </c>
      <c r="I28" s="108">
        <f>BS!H36-BS!G36</f>
        <v>2.8154583333333321</v>
      </c>
      <c r="J28" s="108">
        <f>BS!I36-BS!H36</f>
        <v>3.0223250000000021</v>
      </c>
      <c r="K28" s="108">
        <f>BS!J36-BS!I36</f>
        <v>3.3210583333333261</v>
      </c>
      <c r="L28" s="108">
        <f>BS!K36-BS!J36</f>
        <v>3.5976416666666715</v>
      </c>
      <c r="M28" s="108">
        <f>BS!L36-BS!K36</f>
        <v>3.7939666666666625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343</v>
      </c>
      <c r="C30" s="105"/>
      <c r="D30" s="108">
        <f>'P&amp;L'!B35</f>
        <v>0</v>
      </c>
      <c r="E30" s="108">
        <f>'P&amp;L'!C35</f>
        <v>0.25464143156250607</v>
      </c>
      <c r="F30" s="108">
        <f>'P&amp;L'!D35</f>
        <v>5.1719230831406326</v>
      </c>
      <c r="G30" s="108">
        <f>'P&amp;L'!E35</f>
        <v>8.760223406360149</v>
      </c>
      <c r="H30" s="108">
        <f>'P&amp;L'!F35</f>
        <v>12.461607548553172</v>
      </c>
      <c r="I30" s="108">
        <f>'P&amp;L'!G35</f>
        <v>16.406278469418343</v>
      </c>
      <c r="J30" s="108">
        <f>'P&amp;L'!H35</f>
        <v>20.6266056035705</v>
      </c>
      <c r="K30" s="108">
        <f>'P&amp;L'!I35</f>
        <v>25.345434342050559</v>
      </c>
      <c r="L30" s="108">
        <f>'P&amp;L'!J35</f>
        <v>30.466181818225312</v>
      </c>
      <c r="M30" s="108">
        <f>'P&amp;L'!K35</f>
        <v>35.910169662854408</v>
      </c>
    </row>
    <row r="31" spans="1:13" x14ac:dyDescent="0.25">
      <c r="A31" s="105">
        <v>6</v>
      </c>
      <c r="B31" s="105" t="s">
        <v>344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345</v>
      </c>
      <c r="C32" s="113">
        <f>SUM(C15:C31)</f>
        <v>231.44100000000003</v>
      </c>
      <c r="D32" s="113">
        <f>SUM(D15:D31)</f>
        <v>145.74596977083334</v>
      </c>
      <c r="E32" s="113">
        <f t="shared" ref="E32:J32" si="1">SUM(E15:E31)</f>
        <v>149.48269188885419</v>
      </c>
      <c r="F32" s="113">
        <f t="shared" si="1"/>
        <v>172.98724863933856</v>
      </c>
      <c r="G32" s="113">
        <f t="shared" si="1"/>
        <v>196.3516471768263</v>
      </c>
      <c r="H32" s="113">
        <f t="shared" si="1"/>
        <v>221.40958019295928</v>
      </c>
      <c r="I32" s="113">
        <f t="shared" si="1"/>
        <v>248.5680950700031</v>
      </c>
      <c r="J32" s="113">
        <f t="shared" si="1"/>
        <v>277.38317893418451</v>
      </c>
      <c r="K32" s="113">
        <f t="shared" ref="K32:M32" si="2">SUM(K15:K31)</f>
        <v>307.58722196315358</v>
      </c>
      <c r="L32" s="113">
        <f t="shared" si="2"/>
        <v>340.86683157767521</v>
      </c>
      <c r="M32" s="113">
        <f t="shared" si="2"/>
        <v>375.84801641131844</v>
      </c>
    </row>
    <row r="33" spans="1:13" x14ac:dyDescent="0.25">
      <c r="A33" s="105"/>
      <c r="B33" s="105" t="s">
        <v>346</v>
      </c>
      <c r="C33" s="113">
        <f t="shared" ref="C33:J33" si="3">C12-C32</f>
        <v>2.4030979166666668</v>
      </c>
      <c r="D33" s="113">
        <f t="shared" si="3"/>
        <v>21.986765645833316</v>
      </c>
      <c r="E33" s="113">
        <f t="shared" si="3"/>
        <v>30.961185506979149</v>
      </c>
      <c r="F33" s="113">
        <f t="shared" si="3"/>
        <v>34.526987105453117</v>
      </c>
      <c r="G33" s="113">
        <f t="shared" si="3"/>
        <v>40.09055556353826</v>
      </c>
      <c r="H33" s="113">
        <f t="shared" si="3"/>
        <v>46.492995080256861</v>
      </c>
      <c r="I33" s="113">
        <f t="shared" si="3"/>
        <v>53.598242821040571</v>
      </c>
      <c r="J33" s="113">
        <f t="shared" si="3"/>
        <v>61.57611512224463</v>
      </c>
      <c r="K33" s="113">
        <f t="shared" ref="K33:M33" si="4">K12-K32</f>
        <v>71.133956691930337</v>
      </c>
      <c r="L33" s="113">
        <f t="shared" si="4"/>
        <v>81.6409597601629</v>
      </c>
      <c r="M33" s="113">
        <f t="shared" si="4"/>
        <v>92.977692618411595</v>
      </c>
    </row>
    <row r="34" spans="1:13" x14ac:dyDescent="0.25">
      <c r="A34" s="114"/>
      <c r="B34" s="111" t="s">
        <v>347</v>
      </c>
      <c r="C34" s="111"/>
      <c r="D34" s="108">
        <f>C35</f>
        <v>2.4030979166666668</v>
      </c>
      <c r="E34" s="108">
        <f>D35</f>
        <v>24.389863562499983</v>
      </c>
      <c r="F34" s="108">
        <f t="shared" ref="F34:J34" si="5">E35</f>
        <v>55.351049069479132</v>
      </c>
      <c r="G34" s="108">
        <f t="shared" si="5"/>
        <v>89.878036174932248</v>
      </c>
      <c r="H34" s="108">
        <f t="shared" si="5"/>
        <v>129.96859173847051</v>
      </c>
      <c r="I34" s="108">
        <f t="shared" si="5"/>
        <v>176.46158681872737</v>
      </c>
      <c r="J34" s="108">
        <f t="shared" si="5"/>
        <v>230.05982963976794</v>
      </c>
      <c r="K34" s="108">
        <f t="shared" ref="K34" si="6">J35</f>
        <v>291.63594476201257</v>
      </c>
      <c r="L34" s="108">
        <f t="shared" ref="L34" si="7">K35</f>
        <v>362.76990145394291</v>
      </c>
      <c r="M34" s="108">
        <f t="shared" ref="M34" si="8">L35</f>
        <v>444.41086121410581</v>
      </c>
    </row>
    <row r="35" spans="1:13" x14ac:dyDescent="0.25">
      <c r="A35" s="105"/>
      <c r="B35" s="115" t="s">
        <v>348</v>
      </c>
      <c r="C35" s="113">
        <f>C33+C34</f>
        <v>2.4030979166666668</v>
      </c>
      <c r="D35" s="113">
        <f>D33+D34</f>
        <v>24.389863562499983</v>
      </c>
      <c r="E35" s="113">
        <f t="shared" ref="E35:J35" si="9">E33+E34</f>
        <v>55.351049069479132</v>
      </c>
      <c r="F35" s="113">
        <f t="shared" si="9"/>
        <v>89.878036174932248</v>
      </c>
      <c r="G35" s="113">
        <f t="shared" si="9"/>
        <v>129.96859173847051</v>
      </c>
      <c r="H35" s="113">
        <f t="shared" si="9"/>
        <v>176.46158681872737</v>
      </c>
      <c r="I35" s="113">
        <f t="shared" si="9"/>
        <v>230.05982963976794</v>
      </c>
      <c r="J35" s="113">
        <f t="shared" si="9"/>
        <v>291.63594476201257</v>
      </c>
      <c r="K35" s="113">
        <f t="shared" ref="K35:M35" si="10">K33+K34</f>
        <v>362.76990145394291</v>
      </c>
      <c r="L35" s="113">
        <f t="shared" si="10"/>
        <v>444.41086121410581</v>
      </c>
      <c r="M35" s="113">
        <f t="shared" si="10"/>
        <v>537.38855383251735</v>
      </c>
    </row>
    <row r="37" spans="1:13" x14ac:dyDescent="0.25">
      <c r="C37" s="116">
        <f>BS!B47</f>
        <v>2.4030979166666668</v>
      </c>
      <c r="D37" s="116">
        <f>BS!C47</f>
        <v>24.389863562499983</v>
      </c>
      <c r="E37" s="116">
        <f>BS!D47</f>
        <v>55.351049069479132</v>
      </c>
      <c r="F37" s="116">
        <f>BS!E47</f>
        <v>89.878036174932248</v>
      </c>
      <c r="G37" s="116">
        <f>BS!F47</f>
        <v>129.96859173847051</v>
      </c>
      <c r="H37" s="116">
        <f>BS!G47</f>
        <v>176.46158681872737</v>
      </c>
      <c r="I37" s="116">
        <f>BS!H47</f>
        <v>230.05982963976794</v>
      </c>
      <c r="J37" s="116">
        <f>BS!I47</f>
        <v>291.63594476201257</v>
      </c>
      <c r="K37" s="116">
        <f>BS!J47</f>
        <v>362.76990145394291</v>
      </c>
      <c r="L37" s="116">
        <f>BS!K47</f>
        <v>444.41086121410581</v>
      </c>
      <c r="M37" s="116">
        <f>BS!L47</f>
        <v>537.38855383251735</v>
      </c>
    </row>
    <row r="38" spans="1:13" x14ac:dyDescent="0.25">
      <c r="D38" s="116"/>
    </row>
    <row r="39" spans="1:13" x14ac:dyDescent="0.25">
      <c r="C39" s="116">
        <f>C35-C37</f>
        <v>0</v>
      </c>
      <c r="D39" s="116">
        <f>D35-D37</f>
        <v>0</v>
      </c>
      <c r="E39" s="116">
        <f t="shared" ref="E39:J39" si="11">E35-E37</f>
        <v>0</v>
      </c>
      <c r="F39" s="116">
        <f t="shared" si="11"/>
        <v>0</v>
      </c>
      <c r="G39" s="116">
        <f t="shared" si="11"/>
        <v>0</v>
      </c>
      <c r="H39" s="116">
        <f t="shared" si="11"/>
        <v>0</v>
      </c>
      <c r="I39" s="116">
        <f t="shared" si="11"/>
        <v>0</v>
      </c>
      <c r="J39" s="116">
        <f t="shared" si="11"/>
        <v>0</v>
      </c>
      <c r="K39" s="116">
        <f t="shared" ref="K39:M39" si="12">K35-K37</f>
        <v>0</v>
      </c>
      <c r="L39" s="116">
        <f t="shared" si="12"/>
        <v>0</v>
      </c>
      <c r="M39" s="116">
        <f t="shared" si="12"/>
        <v>0</v>
      </c>
    </row>
    <row r="40" spans="1:13" x14ac:dyDescent="0.25">
      <c r="D40" s="117"/>
      <c r="E40" s="116"/>
      <c r="F40" s="116"/>
      <c r="G40" s="116"/>
      <c r="H40" s="116"/>
      <c r="I40" s="116"/>
      <c r="J40" s="116"/>
    </row>
    <row r="41" spans="1:13" x14ac:dyDescent="0.25">
      <c r="D41" s="116"/>
      <c r="E41" s="116"/>
      <c r="F41" s="116"/>
      <c r="G41" s="116"/>
      <c r="H41" s="116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450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451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452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453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25"/>
      <c r="C1" s="325"/>
      <c r="D1" s="325"/>
      <c r="E1" s="325"/>
      <c r="F1" s="325"/>
      <c r="G1" s="325"/>
      <c r="H1" s="81"/>
      <c r="I1" s="81"/>
    </row>
    <row r="2" spans="1:9" ht="15.75" thickBot="1" x14ac:dyDescent="0.3"/>
    <row r="3" spans="1:9" ht="15.75" thickBot="1" x14ac:dyDescent="0.3">
      <c r="B3" s="326" t="s">
        <v>192</v>
      </c>
      <c r="C3" s="327"/>
      <c r="D3" s="327"/>
      <c r="E3" s="327"/>
      <c r="F3" s="327"/>
      <c r="G3" s="328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193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194</v>
      </c>
    </row>
    <row r="7" spans="1:9" x14ac:dyDescent="0.25">
      <c r="B7" s="15" t="s">
        <v>195</v>
      </c>
      <c r="C7" s="103" t="s">
        <v>45</v>
      </c>
      <c r="D7" s="103" t="s">
        <v>196</v>
      </c>
      <c r="E7" s="103" t="s">
        <v>197</v>
      </c>
      <c r="F7" s="103" t="s">
        <v>198</v>
      </c>
      <c r="G7" s="103" t="s">
        <v>199</v>
      </c>
    </row>
    <row r="8" spans="1:9" x14ac:dyDescent="0.25">
      <c r="A8" s="1" t="s">
        <v>200</v>
      </c>
      <c r="B8" s="6" t="s">
        <v>201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202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203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204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205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206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207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208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209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210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211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212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213</v>
      </c>
      <c r="B20" s="6" t="s">
        <v>214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215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216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217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218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219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220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221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222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223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224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225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226</v>
      </c>
      <c r="B32" s="6" t="s">
        <v>227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228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229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230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231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232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233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234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235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236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237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238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239</v>
      </c>
      <c r="B44" s="6" t="s">
        <v>240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241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242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243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244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245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246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247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248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249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250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251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252</v>
      </c>
      <c r="B56" s="6" t="s">
        <v>253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254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255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256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257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258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259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260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261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262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263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264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265</v>
      </c>
      <c r="B68" s="6" t="s">
        <v>266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267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268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269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270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271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272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273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274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275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276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277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290</v>
      </c>
      <c r="B80" s="6" t="s">
        <v>278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279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280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281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282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283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284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285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286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287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288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289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A4" sqref="A4:K19"/>
    </sheetView>
  </sheetViews>
  <sheetFormatPr defaultRowHeight="15" x14ac:dyDescent="0.25"/>
  <cols>
    <col min="1" max="1" width="31" style="1" customWidth="1"/>
    <col min="2" max="16384" width="9.140625" style="1"/>
  </cols>
  <sheetData>
    <row r="2" spans="1:15" x14ac:dyDescent="0.25">
      <c r="A2" s="325" t="s">
        <v>521</v>
      </c>
      <c r="B2" s="325"/>
      <c r="C2" s="325"/>
      <c r="D2" s="325"/>
      <c r="E2" s="325"/>
      <c r="F2" s="325"/>
      <c r="G2" s="325"/>
      <c r="H2" s="325"/>
      <c r="I2" s="223"/>
      <c r="J2" s="223"/>
      <c r="K2" s="223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499</v>
      </c>
      <c r="J4" s="46" t="s">
        <v>500</v>
      </c>
      <c r="K4" s="46" t="s">
        <v>501</v>
      </c>
    </row>
    <row r="5" spans="1:15" x14ac:dyDescent="0.25">
      <c r="A5" s="23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351</v>
      </c>
      <c r="B6" s="19">
        <f>'P&amp;L'!B36</f>
        <v>12.9704415625</v>
      </c>
      <c r="C6" s="19">
        <f>'P&amp;L'!C36</f>
        <v>20.29382777781251</v>
      </c>
      <c r="D6" s="19">
        <f>'P&amp;L'!D36</f>
        <v>23.591396027328141</v>
      </c>
      <c r="E6" s="19">
        <f>'P&amp;L'!E36</f>
        <v>29.319189156507015</v>
      </c>
      <c r="F6" s="19">
        <f>'P&amp;L'!F36</f>
        <v>35.660989473707389</v>
      </c>
      <c r="G6" s="19">
        <f>'P&amp;L'!G36</f>
        <v>42.872741263330298</v>
      </c>
      <c r="H6" s="19">
        <f>'P&amp;L'!H36</f>
        <v>50.988824065815535</v>
      </c>
      <c r="I6" s="19">
        <f>'P&amp;L'!I36</f>
        <v>60.493814370179685</v>
      </c>
      <c r="J6" s="19">
        <f>'P&amp;L'!J36</f>
        <v>71.131888088991531</v>
      </c>
      <c r="K6" s="19">
        <f>'P&amp;L'!K36</f>
        <v>82.693228255348203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522</v>
      </c>
      <c r="B8" s="332">
        <f>SUM(B6:K6)/10</f>
        <v>43.001634004152038</v>
      </c>
      <c r="C8" s="333"/>
      <c r="D8" s="333"/>
      <c r="E8" s="333"/>
      <c r="F8" s="333"/>
      <c r="G8" s="333"/>
      <c r="H8" s="333"/>
      <c r="I8" s="333"/>
      <c r="J8" s="333"/>
      <c r="K8" s="334"/>
    </row>
    <row r="9" spans="1:15" x14ac:dyDescent="0.25">
      <c r="A9" s="6" t="s">
        <v>523</v>
      </c>
      <c r="B9" s="332">
        <f>'Project Glance'!B23</f>
        <v>233.8440979166667</v>
      </c>
      <c r="C9" s="333"/>
      <c r="D9" s="333"/>
      <c r="E9" s="333"/>
      <c r="F9" s="333"/>
      <c r="G9" s="333"/>
      <c r="H9" s="333"/>
      <c r="I9" s="333"/>
      <c r="J9" s="333"/>
      <c r="K9" s="334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4" t="s">
        <v>525</v>
      </c>
      <c r="B11" s="335">
        <f>B8/B9*100</f>
        <v>18.389018319152196</v>
      </c>
      <c r="C11" s="336"/>
      <c r="D11" s="336"/>
      <c r="E11" s="336"/>
      <c r="F11" s="336"/>
      <c r="G11" s="336"/>
      <c r="H11" s="336"/>
      <c r="I11" s="336"/>
      <c r="J11" s="336"/>
      <c r="K11" s="337"/>
    </row>
    <row r="12" spans="1:15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526</v>
      </c>
      <c r="B13" s="332">
        <f>'Project Glance'!B23-'Project Glance'!B20</f>
        <v>94.979497916666674</v>
      </c>
      <c r="C13" s="333"/>
      <c r="D13" s="333"/>
      <c r="E13" s="333"/>
      <c r="F13" s="333"/>
      <c r="G13" s="333"/>
      <c r="H13" s="333"/>
      <c r="I13" s="333"/>
      <c r="J13" s="333"/>
      <c r="K13" s="334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4" t="s">
        <v>527</v>
      </c>
      <c r="B15" s="335">
        <f>(B8/B13)*100</f>
        <v>45.27464868458339</v>
      </c>
      <c r="C15" s="336"/>
      <c r="D15" s="336"/>
      <c r="E15" s="336"/>
      <c r="F15" s="336"/>
      <c r="G15" s="336"/>
      <c r="H15" s="336"/>
      <c r="I15" s="336"/>
      <c r="J15" s="336"/>
      <c r="K15" s="337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233.8440979166667</v>
      </c>
      <c r="O16" s="13">
        <f>B13</f>
        <v>94.979497916666674</v>
      </c>
    </row>
    <row r="17" spans="1:15" s="3" customFormat="1" x14ac:dyDescent="0.25">
      <c r="A17" s="199" t="s">
        <v>528</v>
      </c>
      <c r="B17" s="329" t="s">
        <v>677</v>
      </c>
      <c r="C17" s="330"/>
      <c r="D17" s="330"/>
      <c r="E17" s="330"/>
      <c r="F17" s="330"/>
      <c r="G17" s="330"/>
      <c r="H17" s="330"/>
      <c r="I17" s="330"/>
      <c r="J17" s="330"/>
      <c r="K17" s="331"/>
      <c r="M17" s="235">
        <f>SUM(B6:H6)</f>
        <v>215.69740932700091</v>
      </c>
      <c r="O17" s="235">
        <f>SUM(B6:E6)</f>
        <v>86.174854524147662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18.146688589665786</v>
      </c>
      <c r="O18" s="13">
        <f>O16-O17</f>
        <v>8.8046433925190115</v>
      </c>
    </row>
    <row r="19" spans="1:15" x14ac:dyDescent="0.25">
      <c r="A19" s="199" t="s">
        <v>529</v>
      </c>
      <c r="B19" s="329" t="s">
        <v>676</v>
      </c>
      <c r="C19" s="330"/>
      <c r="D19" s="330"/>
      <c r="E19" s="330"/>
      <c r="F19" s="330"/>
      <c r="G19" s="330"/>
      <c r="H19" s="330"/>
      <c r="I19" s="330"/>
      <c r="J19" s="330"/>
      <c r="K19" s="331"/>
      <c r="M19" s="1">
        <f>M18*12/I6</f>
        <v>3.5997112323493021</v>
      </c>
      <c r="O19" s="1">
        <f>O18*12/F6</f>
        <v>2.9627815231578865</v>
      </c>
    </row>
    <row r="21" spans="1:15" x14ac:dyDescent="0.25">
      <c r="M21" s="1" t="s">
        <v>601</v>
      </c>
      <c r="O21" s="1" t="s">
        <v>600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topLeftCell="A2" zoomScale="60" zoomScaleNormal="100" workbookViewId="0">
      <selection activeCell="A4" sqref="A4:K21"/>
    </sheetView>
  </sheetViews>
  <sheetFormatPr defaultRowHeight="15" x14ac:dyDescent="0.25"/>
  <cols>
    <col min="1" max="1" width="38.42578125" style="1" customWidth="1"/>
    <col min="2" max="2" width="11.85546875" style="1" bestFit="1" customWidth="1"/>
    <col min="3" max="11" width="6.85546875" style="1" bestFit="1" customWidth="1"/>
    <col min="12" max="16384" width="9.140625" style="1"/>
  </cols>
  <sheetData>
    <row r="2" spans="1:11" x14ac:dyDescent="0.25">
      <c r="A2" s="325" t="s">
        <v>511</v>
      </c>
      <c r="B2" s="325"/>
      <c r="C2" s="325"/>
      <c r="D2" s="325"/>
      <c r="E2" s="325"/>
      <c r="F2" s="325"/>
      <c r="G2" s="325"/>
      <c r="H2" s="325"/>
    </row>
    <row r="4" spans="1:11" x14ac:dyDescent="0.25">
      <c r="A4" s="15" t="s">
        <v>498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499</v>
      </c>
      <c r="J4" s="15" t="s">
        <v>500</v>
      </c>
      <c r="K4" s="15" t="s">
        <v>501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502</v>
      </c>
      <c r="B6" s="232">
        <f>'P&amp;L'!B36</f>
        <v>12.9704415625</v>
      </c>
      <c r="C6" s="232">
        <f>'P&amp;L'!C36</f>
        <v>20.29382777781251</v>
      </c>
      <c r="D6" s="232">
        <f>'P&amp;L'!D36</f>
        <v>23.591396027328141</v>
      </c>
      <c r="E6" s="232">
        <f>'P&amp;L'!E36</f>
        <v>29.319189156507015</v>
      </c>
      <c r="F6" s="232">
        <f>'P&amp;L'!F36</f>
        <v>35.660989473707389</v>
      </c>
      <c r="G6" s="232">
        <f>'P&amp;L'!G36</f>
        <v>42.872741263330298</v>
      </c>
      <c r="H6" s="232">
        <f>'P&amp;L'!H36</f>
        <v>50.988824065815535</v>
      </c>
      <c r="I6" s="232">
        <f>'P&amp;L'!I36</f>
        <v>60.493814370179685</v>
      </c>
      <c r="J6" s="232">
        <f>'P&amp;L'!J36</f>
        <v>71.131888088991531</v>
      </c>
      <c r="K6" s="232">
        <f>'P&amp;L'!K36</f>
        <v>82.693228255348203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512</v>
      </c>
      <c r="B8" s="232">
        <f>'P&amp;L'!B32</f>
        <v>10.317322000000001</v>
      </c>
      <c r="C8" s="232">
        <f>'P&amp;L'!C32</f>
        <v>10.317322000000001</v>
      </c>
      <c r="D8" s="232">
        <f>'P&amp;L'!D32</f>
        <v>10.317322000000001</v>
      </c>
      <c r="E8" s="232">
        <f>'P&amp;L'!E32</f>
        <v>10.317322000000001</v>
      </c>
      <c r="F8" s="232">
        <f>'P&amp;L'!F32</f>
        <v>10.317322000000001</v>
      </c>
      <c r="G8" s="232">
        <f>'P&amp;L'!G32</f>
        <v>10.317322000000001</v>
      </c>
      <c r="H8" s="232">
        <f>'P&amp;L'!H32</f>
        <v>10.317322000000001</v>
      </c>
      <c r="I8" s="232">
        <f>'P&amp;L'!I32</f>
        <v>10.317322000000001</v>
      </c>
      <c r="J8" s="232">
        <f>'P&amp;L'!J32</f>
        <v>10.317322000000001</v>
      </c>
      <c r="K8" s="232">
        <f>'P&amp;L'!K32</f>
        <v>10.317322000000001</v>
      </c>
    </row>
    <row r="9" spans="1:11" x14ac:dyDescent="0.25">
      <c r="A9" s="10" t="s">
        <v>513</v>
      </c>
      <c r="B9" s="232">
        <f>'P&amp;L'!B27</f>
        <v>1.1021000000000001</v>
      </c>
      <c r="C9" s="232">
        <f>'P&amp;L'!C27</f>
        <v>1.1021000000000001</v>
      </c>
      <c r="D9" s="232">
        <f>'P&amp;L'!D27</f>
        <v>1.1021000000000001</v>
      </c>
      <c r="E9" s="232">
        <f>'P&amp;L'!E27</f>
        <v>1.1021000000000001</v>
      </c>
      <c r="F9" s="232">
        <f>'P&amp;L'!F27</f>
        <v>1.1021000000000001</v>
      </c>
      <c r="G9" s="232">
        <f>'P&amp;L'!G27</f>
        <v>1.1021000000000001</v>
      </c>
      <c r="H9" s="232">
        <f>'P&amp;L'!H27</f>
        <v>1.1021000000000001</v>
      </c>
      <c r="I9" s="232">
        <f>'P&amp;L'!I27</f>
        <v>1.1021000000000001</v>
      </c>
      <c r="J9" s="232">
        <f>'P&amp;L'!J27</f>
        <v>1.1021000000000001</v>
      </c>
      <c r="K9" s="232">
        <f>'P&amp;L'!K27</f>
        <v>1.1021000000000001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504</v>
      </c>
      <c r="B11" s="232">
        <f>SUM(B6:B9)</f>
        <v>24.3898635625</v>
      </c>
      <c r="C11" s="232">
        <f t="shared" ref="C11:K11" si="0">SUM(C6:C9)</f>
        <v>31.713249777812511</v>
      </c>
      <c r="D11" s="232">
        <f t="shared" si="0"/>
        <v>35.010818027328142</v>
      </c>
      <c r="E11" s="232">
        <f t="shared" si="0"/>
        <v>40.738611156507012</v>
      </c>
      <c r="F11" s="232">
        <f t="shared" si="0"/>
        <v>47.080411473707393</v>
      </c>
      <c r="G11" s="232">
        <f t="shared" si="0"/>
        <v>54.292163263330302</v>
      </c>
      <c r="H11" s="232">
        <f t="shared" si="0"/>
        <v>62.40824606581554</v>
      </c>
      <c r="I11" s="232">
        <f t="shared" si="0"/>
        <v>71.913236370179675</v>
      </c>
      <c r="J11" s="232">
        <f t="shared" si="0"/>
        <v>82.551310088991528</v>
      </c>
      <c r="K11" s="232">
        <f t="shared" si="0"/>
        <v>94.1126502553482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514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515</v>
      </c>
      <c r="B15" s="19">
        <f>B11*B13</f>
        <v>22.172603238636363</v>
      </c>
      <c r="C15" s="19">
        <f t="shared" ref="C15:K15" si="5">C11*C13</f>
        <v>26.209297337035132</v>
      </c>
      <c r="D15" s="19">
        <f t="shared" si="5"/>
        <v>26.304145775603409</v>
      </c>
      <c r="E15" s="19">
        <f t="shared" si="5"/>
        <v>27.825019572779865</v>
      </c>
      <c r="F15" s="19">
        <f t="shared" si="5"/>
        <v>29.233231382423813</v>
      </c>
      <c r="G15" s="19">
        <f t="shared" si="5"/>
        <v>30.646510768373357</v>
      </c>
      <c r="H15" s="19">
        <f t="shared" si="5"/>
        <v>32.025298113212791</v>
      </c>
      <c r="I15" s="19">
        <f t="shared" si="5"/>
        <v>33.548055501455813</v>
      </c>
      <c r="J15" s="19">
        <f t="shared" si="5"/>
        <v>35.009814002269771</v>
      </c>
      <c r="K15" s="19">
        <f t="shared" si="5"/>
        <v>36.284500756377973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516</v>
      </c>
      <c r="B17" s="19">
        <f>SUM(B15:K15)</f>
        <v>299.25847644816827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517</v>
      </c>
      <c r="B19" s="45">
        <f>'Project Glance'!B15</f>
        <v>233.8440979166667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6" t="s">
        <v>519</v>
      </c>
      <c r="B21" s="201">
        <f>B17-B19</f>
        <v>65.414378531501569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520</v>
      </c>
      <c r="B23" s="45">
        <f>'Project Glance'!B23-'Project Glance'!B20</f>
        <v>94.979497916666674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6" t="s">
        <v>518</v>
      </c>
      <c r="B25" s="201">
        <f>B17-B23</f>
        <v>204.27897853150159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80" workbookViewId="0">
      <selection activeCell="A3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38" t="s">
        <v>497</v>
      </c>
      <c r="B1" s="338"/>
      <c r="C1" s="338"/>
      <c r="D1" s="338"/>
      <c r="E1" s="338"/>
      <c r="F1" s="338"/>
      <c r="G1" s="338"/>
      <c r="H1" s="338"/>
      <c r="I1" s="237"/>
      <c r="J1" s="237"/>
      <c r="K1" s="237"/>
    </row>
    <row r="2" spans="1:13" x14ac:dyDescent="0.25">
      <c r="A2" s="225"/>
      <c r="B2" s="225"/>
      <c r="C2" s="225"/>
      <c r="D2" s="225"/>
      <c r="E2" s="225"/>
      <c r="F2" s="225"/>
      <c r="G2" s="225"/>
    </row>
    <row r="3" spans="1:13" x14ac:dyDescent="0.25">
      <c r="A3" s="245" t="s">
        <v>498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499</v>
      </c>
      <c r="J3" s="46" t="s">
        <v>500</v>
      </c>
      <c r="K3" s="46" t="s">
        <v>501</v>
      </c>
    </row>
    <row r="4" spans="1:13" x14ac:dyDescent="0.25">
      <c r="A4" s="227"/>
      <c r="B4" s="227"/>
      <c r="C4" s="227"/>
      <c r="D4" s="227"/>
      <c r="E4" s="227"/>
      <c r="F4" s="227"/>
      <c r="G4" s="227"/>
      <c r="H4" s="6"/>
      <c r="I4" s="6"/>
      <c r="J4" s="6"/>
      <c r="K4" s="6"/>
    </row>
    <row r="5" spans="1:13" x14ac:dyDescent="0.25">
      <c r="A5" s="227" t="s">
        <v>502</v>
      </c>
      <c r="B5" s="228">
        <f>'P&amp;L'!B36</f>
        <v>12.9704415625</v>
      </c>
      <c r="C5" s="228">
        <f>'P&amp;L'!C36</f>
        <v>20.29382777781251</v>
      </c>
      <c r="D5" s="228">
        <f>'P&amp;L'!D36</f>
        <v>23.591396027328141</v>
      </c>
      <c r="E5" s="228">
        <f>'P&amp;L'!E36</f>
        <v>29.319189156507015</v>
      </c>
      <c r="F5" s="228">
        <f>'P&amp;L'!F36</f>
        <v>35.660989473707389</v>
      </c>
      <c r="G5" s="228">
        <f>'P&amp;L'!G36</f>
        <v>42.872741263330298</v>
      </c>
      <c r="H5" s="228">
        <f>'P&amp;L'!H36</f>
        <v>50.988824065815535</v>
      </c>
      <c r="I5" s="228">
        <f>'P&amp;L'!I36</f>
        <v>60.493814370179685</v>
      </c>
      <c r="J5" s="228">
        <f>'P&amp;L'!J36</f>
        <v>71.131888088991531</v>
      </c>
      <c r="K5" s="228">
        <f>'P&amp;L'!K36</f>
        <v>82.693228255348203</v>
      </c>
      <c r="L5" s="226"/>
    </row>
    <row r="6" spans="1:13" x14ac:dyDescent="0.25">
      <c r="A6" s="227"/>
      <c r="B6" s="228"/>
      <c r="C6" s="228"/>
      <c r="D6" s="228"/>
      <c r="E6" s="228"/>
      <c r="F6" s="228"/>
      <c r="G6" s="227"/>
      <c r="H6" s="6"/>
      <c r="I6" s="6"/>
      <c r="J6" s="6"/>
      <c r="K6" s="6"/>
    </row>
    <row r="7" spans="1:13" x14ac:dyDescent="0.25">
      <c r="A7" s="229" t="s">
        <v>510</v>
      </c>
      <c r="B7" s="228">
        <f>'P&amp;L'!B32</f>
        <v>10.317322000000001</v>
      </c>
      <c r="C7" s="228">
        <f>'P&amp;L'!C32</f>
        <v>10.317322000000001</v>
      </c>
      <c r="D7" s="228">
        <f>'P&amp;L'!D32</f>
        <v>10.317322000000001</v>
      </c>
      <c r="E7" s="228">
        <f>'P&amp;L'!E32</f>
        <v>10.317322000000001</v>
      </c>
      <c r="F7" s="228">
        <f>'P&amp;L'!F32</f>
        <v>10.317322000000001</v>
      </c>
      <c r="G7" s="228">
        <f>'P&amp;L'!G32</f>
        <v>10.317322000000001</v>
      </c>
      <c r="H7" s="228">
        <f>'P&amp;L'!H32</f>
        <v>10.317322000000001</v>
      </c>
      <c r="I7" s="228">
        <f>'P&amp;L'!I32</f>
        <v>10.317322000000001</v>
      </c>
      <c r="J7" s="228">
        <f>'P&amp;L'!J32</f>
        <v>10.317322000000001</v>
      </c>
      <c r="K7" s="228">
        <f>'P&amp;L'!K32</f>
        <v>10.317322000000001</v>
      </c>
    </row>
    <row r="8" spans="1:13" x14ac:dyDescent="0.25">
      <c r="A8" s="227" t="s">
        <v>503</v>
      </c>
      <c r="B8" s="230">
        <f>'P&amp;L'!B27</f>
        <v>1.1021000000000001</v>
      </c>
      <c r="C8" s="230">
        <f>'P&amp;L'!C27</f>
        <v>1.1021000000000001</v>
      </c>
      <c r="D8" s="230">
        <f>'P&amp;L'!D27</f>
        <v>1.1021000000000001</v>
      </c>
      <c r="E8" s="230">
        <f>'P&amp;L'!E27</f>
        <v>1.1021000000000001</v>
      </c>
      <c r="F8" s="230">
        <f>'P&amp;L'!F27</f>
        <v>1.1021000000000001</v>
      </c>
      <c r="G8" s="230">
        <f>'P&amp;L'!G27</f>
        <v>1.1021000000000001</v>
      </c>
      <c r="H8" s="230">
        <f>'P&amp;L'!H27</f>
        <v>1.1021000000000001</v>
      </c>
      <c r="I8" s="230">
        <f>'P&amp;L'!I27</f>
        <v>1.1021000000000001</v>
      </c>
      <c r="J8" s="230">
        <f>'P&amp;L'!J27</f>
        <v>1.1021000000000001</v>
      </c>
      <c r="K8" s="230">
        <f>'P&amp;L'!K27</f>
        <v>1.1021000000000001</v>
      </c>
    </row>
    <row r="9" spans="1:13" x14ac:dyDescent="0.25">
      <c r="A9" s="227"/>
      <c r="B9" s="227"/>
      <c r="C9" s="227"/>
      <c r="D9" s="227"/>
      <c r="E9" s="227"/>
      <c r="F9" s="227"/>
      <c r="G9" s="227"/>
      <c r="H9" s="6"/>
      <c r="I9" s="6"/>
      <c r="J9" s="6"/>
      <c r="K9" s="6"/>
    </row>
    <row r="10" spans="1:13" x14ac:dyDescent="0.25">
      <c r="A10" s="227" t="s">
        <v>504</v>
      </c>
      <c r="B10" s="228">
        <f>SUM(B5:B8)</f>
        <v>24.3898635625</v>
      </c>
      <c r="C10" s="228">
        <f t="shared" ref="C10:K10" si="0">SUM(C5:C8)</f>
        <v>31.713249777812511</v>
      </c>
      <c r="D10" s="228">
        <f t="shared" si="0"/>
        <v>35.010818027328142</v>
      </c>
      <c r="E10" s="228">
        <f t="shared" si="0"/>
        <v>40.738611156507012</v>
      </c>
      <c r="F10" s="228">
        <f t="shared" si="0"/>
        <v>47.080411473707393</v>
      </c>
      <c r="G10" s="228">
        <f t="shared" si="0"/>
        <v>54.292163263330302</v>
      </c>
      <c r="H10" s="228">
        <f t="shared" si="0"/>
        <v>62.40824606581554</v>
      </c>
      <c r="I10" s="228">
        <f t="shared" si="0"/>
        <v>71.913236370179675</v>
      </c>
      <c r="J10" s="228">
        <f t="shared" si="0"/>
        <v>82.551310088991528</v>
      </c>
      <c r="K10" s="228">
        <f t="shared" si="0"/>
        <v>94.1126502553482</v>
      </c>
    </row>
    <row r="11" spans="1:13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3" x14ac:dyDescent="0.25">
      <c r="A12" s="231" t="s">
        <v>678</v>
      </c>
      <c r="B12" s="72">
        <f>1/M12</f>
        <v>0.87093675344390176</v>
      </c>
      <c r="C12" s="232">
        <f t="shared" ref="C12:H12" si="1">B12/$M$12</f>
        <v>0.75853082849940368</v>
      </c>
      <c r="D12" s="232">
        <f t="shared" si="1"/>
        <v>0.6606323771603837</v>
      </c>
      <c r="E12" s="232">
        <f t="shared" si="1"/>
        <v>0.57536901778399174</v>
      </c>
      <c r="F12" s="232">
        <f t="shared" si="1"/>
        <v>0.50111002438099628</v>
      </c>
      <c r="G12" s="232">
        <f t="shared" si="1"/>
        <v>0.43643513775257936</v>
      </c>
      <c r="H12" s="232">
        <f t="shared" si="1"/>
        <v>0.38010740196307352</v>
      </c>
      <c r="I12" s="232">
        <f t="shared" ref="I12:K12" si="2">H12/$M$12</f>
        <v>0.33104950662571542</v>
      </c>
      <c r="J12" s="232">
        <f t="shared" si="2"/>
        <v>0.28832318252980604</v>
      </c>
      <c r="K12" s="232">
        <f t="shared" si="2"/>
        <v>0.25111125653512278</v>
      </c>
      <c r="M12" s="1">
        <v>1.1481889999999999</v>
      </c>
    </row>
    <row r="13" spans="1:13" x14ac:dyDescent="0.25">
      <c r="A13" s="227" t="s">
        <v>505</v>
      </c>
      <c r="B13" s="228">
        <f t="shared" ref="B13:H13" si="3">B10*B12</f>
        <v>21.242028588063466</v>
      </c>
      <c r="C13" s="228">
        <f t="shared" si="3"/>
        <v>24.055477628372653</v>
      </c>
      <c r="D13" s="228">
        <f t="shared" si="3"/>
        <v>23.129279939723407</v>
      </c>
      <c r="E13" s="228">
        <f>E10*E12</f>
        <v>23.439734687003408</v>
      </c>
      <c r="F13" s="228">
        <f t="shared" si="3"/>
        <v>23.59246614145685</v>
      </c>
      <c r="G13" s="228">
        <f t="shared" si="3"/>
        <v>23.695007752717089</v>
      </c>
      <c r="H13" s="228">
        <f t="shared" si="3"/>
        <v>23.72183627314935</v>
      </c>
      <c r="I13" s="228">
        <f t="shared" ref="I13:K13" si="4">I10*I12</f>
        <v>23.806841420206435</v>
      </c>
      <c r="J13" s="228">
        <f t="shared" si="4"/>
        <v>23.801456446862922</v>
      </c>
      <c r="K13" s="228">
        <f t="shared" si="4"/>
        <v>23.63274586147103</v>
      </c>
    </row>
    <row r="14" spans="1:13" x14ac:dyDescent="0.25">
      <c r="A14" s="227" t="s">
        <v>506</v>
      </c>
      <c r="B14" s="339">
        <f>SUM(B13:K13)</f>
        <v>234.11687473902657</v>
      </c>
      <c r="C14" s="340"/>
      <c r="D14" s="340"/>
      <c r="E14" s="340"/>
      <c r="F14" s="340"/>
      <c r="G14" s="340"/>
      <c r="H14" s="340"/>
      <c r="I14" s="340"/>
      <c r="J14" s="340"/>
      <c r="K14" s="341"/>
    </row>
    <row r="15" spans="1:13" x14ac:dyDescent="0.25">
      <c r="A15" s="227"/>
      <c r="B15" s="228"/>
      <c r="C15" s="228"/>
      <c r="D15" s="228"/>
      <c r="E15" s="228"/>
      <c r="F15" s="228"/>
      <c r="G15" s="227"/>
      <c r="H15" s="6"/>
      <c r="I15" s="6"/>
      <c r="J15" s="6"/>
      <c r="K15" s="6"/>
    </row>
    <row r="16" spans="1:13" x14ac:dyDescent="0.25">
      <c r="A16" s="227" t="s">
        <v>507</v>
      </c>
      <c r="B16" s="339">
        <f>'Project Glance'!B15</f>
        <v>233.8440979166667</v>
      </c>
      <c r="C16" s="340"/>
      <c r="D16" s="340"/>
      <c r="E16" s="340"/>
      <c r="F16" s="340"/>
      <c r="G16" s="340"/>
      <c r="H16" s="340"/>
      <c r="I16" s="340"/>
      <c r="J16" s="340"/>
      <c r="K16" s="341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9" t="s">
        <v>508</v>
      </c>
      <c r="B19" s="287">
        <f>(M12*100)-100</f>
        <v>14.818899999999985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1" t="s">
        <v>674</v>
      </c>
      <c r="B22" s="72">
        <f>1/M22</f>
        <v>0.67276641550053828</v>
      </c>
      <c r="C22" s="232">
        <f t="shared" ref="C22:H22" si="5">B22/$M$22</f>
        <v>0.45261464982544292</v>
      </c>
      <c r="D22" s="232">
        <f t="shared" si="5"/>
        <v>0.30450393556609456</v>
      </c>
      <c r="E22" s="232">
        <f t="shared" si="5"/>
        <v>0.20486002123660829</v>
      </c>
      <c r="F22" s="232">
        <f t="shared" si="5"/>
        <v>0.13782294216671709</v>
      </c>
      <c r="G22" s="232">
        <f t="shared" si="5"/>
        <v>9.2722646775240239E-2</v>
      </c>
      <c r="H22" s="232">
        <f t="shared" si="5"/>
        <v>6.238068270670092E-2</v>
      </c>
      <c r="I22" s="232">
        <f t="shared" ref="I22:K22" si="6">H22/$M$22</f>
        <v>4.1967628301063591E-2</v>
      </c>
      <c r="J22" s="232">
        <f t="shared" si="6"/>
        <v>2.8234410859165494E-2</v>
      </c>
      <c r="K22" s="232">
        <f t="shared" si="6"/>
        <v>1.899516338749024E-2</v>
      </c>
      <c r="M22" s="1">
        <v>1.4863999999999999</v>
      </c>
    </row>
    <row r="23" spans="1:13" x14ac:dyDescent="0.25">
      <c r="A23" s="227" t="s">
        <v>505</v>
      </c>
      <c r="B23" s="228">
        <f>ROUND(B10*B22,2)</f>
        <v>16.41</v>
      </c>
      <c r="C23" s="228">
        <f t="shared" ref="C23:H23" si="7">ROUND(C10*C22,2)</f>
        <v>14.35</v>
      </c>
      <c r="D23" s="228">
        <f t="shared" si="7"/>
        <v>10.66</v>
      </c>
      <c r="E23" s="228">
        <f t="shared" si="7"/>
        <v>8.35</v>
      </c>
      <c r="F23" s="228">
        <f t="shared" si="7"/>
        <v>6.49</v>
      </c>
      <c r="G23" s="228">
        <f t="shared" si="7"/>
        <v>5.03</v>
      </c>
      <c r="H23" s="228">
        <f t="shared" si="7"/>
        <v>3.89</v>
      </c>
      <c r="I23" s="228">
        <f t="shared" ref="I23:K23" si="8">ROUND(I10*I22,2)</f>
        <v>3.02</v>
      </c>
      <c r="J23" s="228">
        <f t="shared" si="8"/>
        <v>2.33</v>
      </c>
      <c r="K23" s="228">
        <f t="shared" si="8"/>
        <v>1.79</v>
      </c>
    </row>
    <row r="24" spans="1:13" x14ac:dyDescent="0.25">
      <c r="A24" s="227" t="s">
        <v>506</v>
      </c>
      <c r="B24" s="339">
        <f>SUM(B23:K23)</f>
        <v>72.320000000000007</v>
      </c>
      <c r="C24" s="340"/>
      <c r="D24" s="340"/>
      <c r="E24" s="340"/>
      <c r="F24" s="340"/>
      <c r="G24" s="340"/>
      <c r="H24" s="340"/>
      <c r="I24" s="340"/>
      <c r="J24" s="340"/>
      <c r="K24" s="341"/>
    </row>
    <row r="25" spans="1:13" x14ac:dyDescent="0.25">
      <c r="A25" s="227"/>
      <c r="B25" s="228"/>
      <c r="C25" s="228"/>
      <c r="D25" s="228"/>
      <c r="E25" s="228"/>
      <c r="F25" s="228"/>
      <c r="G25" s="227"/>
      <c r="H25" s="6"/>
      <c r="I25" s="6"/>
      <c r="J25" s="6"/>
      <c r="K25" s="6"/>
    </row>
    <row r="26" spans="1:13" x14ac:dyDescent="0.25">
      <c r="A26" s="227" t="s">
        <v>524</v>
      </c>
      <c r="B26" s="339">
        <f>'Project Glance'!B23-'Project Glance'!B20</f>
        <v>94.979497916666674</v>
      </c>
      <c r="C26" s="340"/>
      <c r="D26" s="340"/>
      <c r="E26" s="340"/>
      <c r="F26" s="340"/>
      <c r="G26" s="340"/>
      <c r="H26" s="340"/>
      <c r="I26" s="340"/>
      <c r="J26" s="340"/>
      <c r="K26" s="341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9" t="s">
        <v>509</v>
      </c>
      <c r="B28" s="199">
        <f>ROUND(M22*100,2)-100</f>
        <v>48.639999999999986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cellWatches>
    <cellWatch r="B14"/>
    <cellWatch r="B16"/>
  </cellWatch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6" t="s">
        <v>530</v>
      </c>
      <c r="B2" s="236"/>
      <c r="C2" s="236"/>
      <c r="D2" s="236"/>
      <c r="E2" s="236"/>
      <c r="F2" s="236"/>
    </row>
    <row r="3" spans="1:7" x14ac:dyDescent="0.25">
      <c r="A3" s="237"/>
      <c r="B3" s="237"/>
      <c r="C3" s="237"/>
      <c r="D3" s="237"/>
      <c r="E3" s="237"/>
      <c r="F3" s="237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4"/>
      <c r="B5" s="238"/>
      <c r="C5" s="238"/>
      <c r="D5" s="238"/>
      <c r="E5" s="238"/>
      <c r="F5" s="238"/>
      <c r="G5" s="6"/>
    </row>
    <row r="6" spans="1:7" x14ac:dyDescent="0.25">
      <c r="A6" s="239" t="s">
        <v>531</v>
      </c>
      <c r="B6" s="227"/>
      <c r="C6" s="227"/>
      <c r="D6" s="227"/>
      <c r="E6" s="227"/>
      <c r="F6" s="227"/>
      <c r="G6" s="6"/>
    </row>
    <row r="7" spans="1:7" x14ac:dyDescent="0.25">
      <c r="A7" s="234" t="s">
        <v>325</v>
      </c>
      <c r="B7" s="228">
        <f>BS!C20</f>
        <v>0</v>
      </c>
      <c r="C7" s="228">
        <f>BS!D20</f>
        <v>0</v>
      </c>
      <c r="D7" s="228">
        <f>BS!E20</f>
        <v>0</v>
      </c>
      <c r="E7" s="228">
        <f>BS!F20</f>
        <v>0</v>
      </c>
      <c r="F7" s="228">
        <f>BS!G20</f>
        <v>0</v>
      </c>
      <c r="G7" s="228">
        <f>BS!H20</f>
        <v>0</v>
      </c>
    </row>
    <row r="8" spans="1:7" x14ac:dyDescent="0.25">
      <c r="A8" s="227"/>
      <c r="B8" s="228"/>
      <c r="C8" s="228"/>
      <c r="D8" s="228"/>
      <c r="E8" s="228"/>
      <c r="F8" s="228"/>
      <c r="G8" s="6"/>
    </row>
    <row r="9" spans="1:7" x14ac:dyDescent="0.25">
      <c r="A9" s="227" t="s">
        <v>532</v>
      </c>
      <c r="B9" s="228">
        <f>SUM(B7:B8)</f>
        <v>0</v>
      </c>
      <c r="C9" s="228">
        <f t="shared" ref="C9:F9" si="0">SUM(C7:C8)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>SUM(G7:G8)</f>
        <v>0</v>
      </c>
    </row>
    <row r="10" spans="1:7" x14ac:dyDescent="0.25">
      <c r="A10" s="227"/>
      <c r="B10" s="227"/>
      <c r="C10" s="227"/>
      <c r="D10" s="227"/>
      <c r="E10" s="227"/>
      <c r="F10" s="227"/>
      <c r="G10" s="6"/>
    </row>
    <row r="11" spans="1:7" x14ac:dyDescent="0.25">
      <c r="A11" s="239" t="s">
        <v>533</v>
      </c>
      <c r="B11" s="227"/>
      <c r="C11" s="227"/>
      <c r="D11" s="227"/>
      <c r="E11" s="227"/>
      <c r="F11" s="227"/>
      <c r="G11" s="6"/>
    </row>
    <row r="12" spans="1:7" x14ac:dyDescent="0.25">
      <c r="A12" s="227" t="s">
        <v>534</v>
      </c>
      <c r="B12" s="227"/>
      <c r="C12" s="227"/>
      <c r="D12" s="227"/>
      <c r="E12" s="227"/>
      <c r="F12" s="227"/>
      <c r="G12" s="6"/>
    </row>
    <row r="13" spans="1:7" x14ac:dyDescent="0.25">
      <c r="A13" s="234" t="s">
        <v>535</v>
      </c>
      <c r="B13" s="228">
        <f>BS!C9</f>
        <v>94.979497916666674</v>
      </c>
      <c r="C13" s="228">
        <f>BS!D9</f>
        <v>94.979497916666674</v>
      </c>
      <c r="D13" s="228">
        <f>BS!E9</f>
        <v>94.979497916666674</v>
      </c>
      <c r="E13" s="228">
        <f>BS!F9</f>
        <v>94.979497916666674</v>
      </c>
      <c r="F13" s="228">
        <f>BS!G9</f>
        <v>94.979497916666674</v>
      </c>
      <c r="G13" s="228">
        <f>BS!H9</f>
        <v>94.979497916666674</v>
      </c>
    </row>
    <row r="14" spans="1:7" x14ac:dyDescent="0.25">
      <c r="A14" s="234" t="s">
        <v>536</v>
      </c>
      <c r="B14" s="228">
        <f>BS!C13+BS!C19</f>
        <v>151.83504156250001</v>
      </c>
      <c r="C14" s="228">
        <f>BS!D13+BS!D19</f>
        <v>172.12886934031252</v>
      </c>
      <c r="D14" s="228">
        <f>BS!E13+BS!E19</f>
        <v>195.72026536764068</v>
      </c>
      <c r="E14" s="228">
        <f>BS!F13+BS!F19</f>
        <v>225.03945452414769</v>
      </c>
      <c r="F14" s="228">
        <f>BS!G13+BS!G19</f>
        <v>260.70044399785507</v>
      </c>
      <c r="G14" s="228">
        <f>BS!H13+BS!H19</f>
        <v>303.57318526118536</v>
      </c>
    </row>
    <row r="15" spans="1:7" x14ac:dyDescent="0.25">
      <c r="A15" s="227"/>
      <c r="B15" s="228"/>
      <c r="C15" s="228"/>
      <c r="D15" s="228"/>
      <c r="E15" s="228"/>
      <c r="F15" s="228"/>
      <c r="G15" s="6"/>
    </row>
    <row r="16" spans="1:7" x14ac:dyDescent="0.25">
      <c r="A16" s="227" t="s">
        <v>532</v>
      </c>
      <c r="B16" s="228">
        <f>SUM(B13:B15)</f>
        <v>246.81453947916668</v>
      </c>
      <c r="C16" s="228">
        <f t="shared" ref="C16:G16" si="1">SUM(C13:C15)</f>
        <v>267.10836725697919</v>
      </c>
      <c r="D16" s="228">
        <f t="shared" si="1"/>
        <v>290.69976328430732</v>
      </c>
      <c r="E16" s="228">
        <f t="shared" si="1"/>
        <v>320.01895244081436</v>
      </c>
      <c r="F16" s="228">
        <f t="shared" si="1"/>
        <v>355.67994191452175</v>
      </c>
      <c r="G16" s="228">
        <f t="shared" si="1"/>
        <v>398.55268317785203</v>
      </c>
    </row>
    <row r="17" spans="1:7" x14ac:dyDescent="0.25">
      <c r="A17" s="227"/>
      <c r="B17" s="227"/>
      <c r="C17" s="227"/>
      <c r="D17" s="227"/>
      <c r="E17" s="227"/>
      <c r="F17" s="227"/>
      <c r="G17" s="6"/>
    </row>
    <row r="18" spans="1:7" x14ac:dyDescent="0.25">
      <c r="A18" s="240" t="s">
        <v>537</v>
      </c>
      <c r="B18" s="230">
        <f>B9/B16</f>
        <v>0</v>
      </c>
      <c r="C18" s="230">
        <f t="shared" ref="C18:G18" si="2">C9/C16</f>
        <v>0</v>
      </c>
      <c r="D18" s="230">
        <f t="shared" si="2"/>
        <v>0</v>
      </c>
      <c r="E18" s="230">
        <f t="shared" si="2"/>
        <v>0</v>
      </c>
      <c r="F18" s="230">
        <f t="shared" si="2"/>
        <v>0</v>
      </c>
      <c r="G18" s="230">
        <f t="shared" si="2"/>
        <v>0</v>
      </c>
    </row>
    <row r="19" spans="1:7" s="3" customFormat="1" x14ac:dyDescent="0.25">
      <c r="A19" s="243" t="s">
        <v>550</v>
      </c>
      <c r="B19" s="342">
        <f>SUM(B18:F18)/6</f>
        <v>0</v>
      </c>
      <c r="C19" s="343"/>
      <c r="D19" s="343"/>
      <c r="E19" s="343"/>
      <c r="F19" s="343"/>
      <c r="G19" s="344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40"/>
      <c r="B21" s="45"/>
      <c r="C21" s="6"/>
      <c r="D21" s="6"/>
      <c r="E21" s="6"/>
      <c r="F21" s="6"/>
      <c r="G21" s="6"/>
    </row>
    <row r="22" spans="1:7" x14ac:dyDescent="0.25">
      <c r="A22" s="239" t="s">
        <v>531</v>
      </c>
      <c r="B22" s="227"/>
      <c r="C22" s="227"/>
      <c r="D22" s="227"/>
      <c r="E22" s="227"/>
      <c r="F22" s="227"/>
      <c r="G22" s="6"/>
    </row>
    <row r="23" spans="1:7" x14ac:dyDescent="0.25">
      <c r="A23" s="234" t="s">
        <v>325</v>
      </c>
      <c r="B23" s="228">
        <f>B7</f>
        <v>0</v>
      </c>
      <c r="C23" s="228">
        <f t="shared" ref="C23:G23" si="3">C7</f>
        <v>0</v>
      </c>
      <c r="D23" s="228">
        <f t="shared" si="3"/>
        <v>0</v>
      </c>
      <c r="E23" s="228">
        <f t="shared" si="3"/>
        <v>0</v>
      </c>
      <c r="F23" s="228">
        <f t="shared" si="3"/>
        <v>0</v>
      </c>
      <c r="G23" s="228">
        <f t="shared" si="3"/>
        <v>0</v>
      </c>
    </row>
    <row r="24" spans="1:7" x14ac:dyDescent="0.25">
      <c r="A24" s="227"/>
      <c r="B24" s="228"/>
      <c r="C24" s="228"/>
      <c r="D24" s="228"/>
      <c r="E24" s="228"/>
      <c r="F24" s="228"/>
      <c r="G24" s="6"/>
    </row>
    <row r="25" spans="1:7" x14ac:dyDescent="0.25">
      <c r="A25" s="227" t="s">
        <v>532</v>
      </c>
      <c r="B25" s="228">
        <f>SUM(B23:B24)</f>
        <v>0</v>
      </c>
      <c r="C25" s="228">
        <f t="shared" ref="C25:G25" si="4">SUM(C23:C24)</f>
        <v>0</v>
      </c>
      <c r="D25" s="228">
        <f t="shared" si="4"/>
        <v>0</v>
      </c>
      <c r="E25" s="228">
        <f t="shared" si="4"/>
        <v>0</v>
      </c>
      <c r="F25" s="228">
        <f t="shared" si="4"/>
        <v>0</v>
      </c>
      <c r="G25" s="228">
        <f t="shared" si="4"/>
        <v>0</v>
      </c>
    </row>
    <row r="26" spans="1:7" x14ac:dyDescent="0.25">
      <c r="A26" s="227"/>
      <c r="B26" s="227"/>
      <c r="C26" s="227"/>
      <c r="D26" s="227"/>
      <c r="E26" s="227"/>
      <c r="F26" s="227"/>
      <c r="G26" s="6"/>
    </row>
    <row r="27" spans="1:7" x14ac:dyDescent="0.25">
      <c r="A27" s="239" t="s">
        <v>533</v>
      </c>
      <c r="B27" s="227"/>
      <c r="C27" s="227"/>
      <c r="D27" s="227"/>
      <c r="E27" s="227"/>
      <c r="F27" s="227"/>
      <c r="G27" s="6"/>
    </row>
    <row r="28" spans="1:7" x14ac:dyDescent="0.25">
      <c r="A28" s="227" t="s">
        <v>534</v>
      </c>
      <c r="B28" s="227"/>
      <c r="C28" s="227"/>
      <c r="D28" s="227"/>
      <c r="E28" s="227"/>
      <c r="F28" s="227"/>
      <c r="G28" s="6"/>
    </row>
    <row r="29" spans="1:7" x14ac:dyDescent="0.25">
      <c r="A29" s="234" t="s">
        <v>535</v>
      </c>
      <c r="B29" s="228">
        <f>B13</f>
        <v>94.979497916666674</v>
      </c>
      <c r="C29" s="228">
        <f t="shared" ref="C29:G29" si="5">C13</f>
        <v>94.979497916666674</v>
      </c>
      <c r="D29" s="228">
        <f t="shared" si="5"/>
        <v>94.979497916666674</v>
      </c>
      <c r="E29" s="228">
        <f t="shared" si="5"/>
        <v>94.979497916666674</v>
      </c>
      <c r="F29" s="228">
        <f t="shared" si="5"/>
        <v>94.979497916666674</v>
      </c>
      <c r="G29" s="228">
        <f t="shared" si="5"/>
        <v>94.979497916666674</v>
      </c>
    </row>
    <row r="30" spans="1:7" x14ac:dyDescent="0.25">
      <c r="A30" s="234" t="s">
        <v>538</v>
      </c>
      <c r="B30" s="228">
        <f>BS!C19</f>
        <v>12.9704415625</v>
      </c>
      <c r="C30" s="228">
        <f>BS!D19</f>
        <v>33.264269340312509</v>
      </c>
      <c r="D30" s="228">
        <f>BS!E19</f>
        <v>56.855665367640654</v>
      </c>
      <c r="E30" s="228">
        <f>BS!F19</f>
        <v>86.174854524147662</v>
      </c>
      <c r="F30" s="228">
        <f>BS!G19</f>
        <v>121.83584399785505</v>
      </c>
      <c r="G30" s="228">
        <f>BS!H19</f>
        <v>164.70858526118536</v>
      </c>
    </row>
    <row r="31" spans="1:7" x14ac:dyDescent="0.25">
      <c r="A31" s="227"/>
      <c r="B31" s="228"/>
      <c r="C31" s="228"/>
      <c r="D31" s="228"/>
      <c r="E31" s="228"/>
      <c r="F31" s="228"/>
      <c r="G31" s="6"/>
    </row>
    <row r="32" spans="1:7" x14ac:dyDescent="0.25">
      <c r="A32" s="227" t="s">
        <v>532</v>
      </c>
      <c r="B32" s="228">
        <f>SUM(B29:B31)</f>
        <v>107.94993947916667</v>
      </c>
      <c r="C32" s="228">
        <f t="shared" ref="C32:G32" si="6">SUM(C29:C31)</f>
        <v>128.2437672569792</v>
      </c>
      <c r="D32" s="228">
        <f t="shared" si="6"/>
        <v>151.83516328430733</v>
      </c>
      <c r="E32" s="228">
        <f t="shared" si="6"/>
        <v>181.15435244081434</v>
      </c>
      <c r="F32" s="228">
        <f t="shared" si="6"/>
        <v>216.81534191452172</v>
      </c>
      <c r="G32" s="228">
        <f t="shared" si="6"/>
        <v>259.68808317785204</v>
      </c>
    </row>
    <row r="33" spans="1:7" x14ac:dyDescent="0.25">
      <c r="A33" s="227"/>
      <c r="B33" s="227"/>
      <c r="C33" s="227"/>
      <c r="D33" s="227"/>
      <c r="E33" s="227"/>
      <c r="F33" s="227"/>
      <c r="G33" s="6"/>
    </row>
    <row r="34" spans="1:7" x14ac:dyDescent="0.25">
      <c r="A34" s="240" t="s">
        <v>539</v>
      </c>
      <c r="B34" s="230">
        <f>B25/B32</f>
        <v>0</v>
      </c>
      <c r="C34" s="230">
        <f t="shared" ref="C34:G34" si="7">C25/C32</f>
        <v>0</v>
      </c>
      <c r="D34" s="230">
        <f t="shared" si="7"/>
        <v>0</v>
      </c>
      <c r="E34" s="230">
        <f t="shared" si="7"/>
        <v>0</v>
      </c>
      <c r="F34" s="230">
        <f t="shared" si="7"/>
        <v>0</v>
      </c>
      <c r="G34" s="230">
        <f t="shared" si="7"/>
        <v>0</v>
      </c>
    </row>
    <row r="35" spans="1:7" x14ac:dyDescent="0.25">
      <c r="A35" s="243" t="s">
        <v>551</v>
      </c>
      <c r="B35" s="342">
        <f>SUM(B34:G34)/6</f>
        <v>0</v>
      </c>
      <c r="C35" s="343"/>
      <c r="D35" s="343"/>
      <c r="E35" s="343"/>
      <c r="F35" s="343"/>
      <c r="G35" s="344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5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6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6"/>
      <c r="G4" s="1" t="s">
        <v>369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6"/>
      <c r="G5" s="1" t="s">
        <v>370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6"/>
      <c r="G6" s="1" t="s">
        <v>369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6"/>
      <c r="G7" s="1" t="s">
        <v>369</v>
      </c>
    </row>
    <row r="8" spans="1:7" x14ac:dyDescent="0.25">
      <c r="A8" s="6"/>
      <c r="B8" s="6" t="s">
        <v>12</v>
      </c>
      <c r="C8" s="6" t="s">
        <v>74</v>
      </c>
      <c r="D8" s="9">
        <f>25*2</f>
        <v>50</v>
      </c>
      <c r="E8" s="9"/>
      <c r="F8" s="126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6"/>
      <c r="G9" s="5" t="s">
        <v>398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6"/>
      <c r="G10" s="1" t="s">
        <v>369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6"/>
      <c r="G11" s="1" t="s">
        <v>369</v>
      </c>
    </row>
    <row r="12" spans="1:7" x14ac:dyDescent="0.25">
      <c r="A12" s="6"/>
      <c r="B12" s="6"/>
      <c r="C12" s="6"/>
      <c r="D12" s="6"/>
      <c r="E12" s="9"/>
      <c r="F12" s="126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6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6"/>
    </row>
    <row r="15" spans="1:7" x14ac:dyDescent="0.25">
      <c r="A15" s="7">
        <v>7</v>
      </c>
      <c r="B15" s="8" t="s">
        <v>23</v>
      </c>
      <c r="C15" s="6" t="s">
        <v>368</v>
      </c>
      <c r="D15" s="6"/>
      <c r="E15" s="9">
        <f>'WC Assessment'!C13</f>
        <v>2.4030979166666664</v>
      </c>
      <c r="F15" s="126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302" t="s">
        <v>24</v>
      </c>
      <c r="C17" s="302"/>
      <c r="D17" s="6"/>
      <c r="E17" s="11">
        <f>SUM(E4:E15)</f>
        <v>163.40309791666667</v>
      </c>
      <c r="F17" s="127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25" t="s">
        <v>549</v>
      </c>
      <c r="B1" s="325"/>
      <c r="C1" s="325"/>
      <c r="D1" s="325"/>
      <c r="E1" s="325"/>
      <c r="F1" s="325"/>
      <c r="G1" s="325"/>
      <c r="H1" s="325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540</v>
      </c>
      <c r="B4" s="19">
        <f>'P&amp;L'!B36</f>
        <v>12.9704415625</v>
      </c>
      <c r="C4" s="19">
        <f>'P&amp;L'!C36</f>
        <v>20.29382777781251</v>
      </c>
      <c r="D4" s="19">
        <f>'P&amp;L'!D36</f>
        <v>23.591396027328141</v>
      </c>
      <c r="E4" s="19">
        <f>'P&amp;L'!E36</f>
        <v>29.319189156507015</v>
      </c>
      <c r="F4" s="19">
        <f>'P&amp;L'!F36</f>
        <v>35.660989473707389</v>
      </c>
      <c r="G4" s="19">
        <f>'P&amp;L'!G36</f>
        <v>42.872741263330298</v>
      </c>
      <c r="H4" s="19">
        <f>'P&amp;L'!H36</f>
        <v>50.988824065815535</v>
      </c>
      <c r="I4" s="13"/>
    </row>
    <row r="5" spans="1:9" ht="30" x14ac:dyDescent="0.25">
      <c r="A5" s="10" t="s">
        <v>541</v>
      </c>
      <c r="B5" s="19">
        <f>'P&amp;L'!B32</f>
        <v>10.317322000000001</v>
      </c>
      <c r="C5" s="19">
        <f>'P&amp;L'!C32</f>
        <v>10.317322000000001</v>
      </c>
      <c r="D5" s="19">
        <f>'P&amp;L'!D32</f>
        <v>10.317322000000001</v>
      </c>
      <c r="E5" s="19">
        <f>'P&amp;L'!E32</f>
        <v>10.317322000000001</v>
      </c>
      <c r="F5" s="19">
        <f>'P&amp;L'!F32</f>
        <v>10.317322000000001</v>
      </c>
      <c r="G5" s="19">
        <f>'P&amp;L'!G32</f>
        <v>10.317322000000001</v>
      </c>
      <c r="H5" s="19">
        <f>'P&amp;L'!H32</f>
        <v>10.317322000000001</v>
      </c>
    </row>
    <row r="6" spans="1:9" ht="30" x14ac:dyDescent="0.25">
      <c r="A6" s="10" t="s">
        <v>542</v>
      </c>
      <c r="B6" s="19">
        <f>'P&amp;L'!B27</f>
        <v>1.1021000000000001</v>
      </c>
      <c r="C6" s="19">
        <f>'P&amp;L'!C27</f>
        <v>1.1021000000000001</v>
      </c>
      <c r="D6" s="19">
        <f>'P&amp;L'!D27</f>
        <v>1.1021000000000001</v>
      </c>
      <c r="E6" s="19">
        <f>'P&amp;L'!E27</f>
        <v>1.1021000000000001</v>
      </c>
      <c r="F6" s="19">
        <f>'P&amp;L'!F27</f>
        <v>1.1021000000000001</v>
      </c>
      <c r="G6" s="19">
        <f>'P&amp;L'!G27</f>
        <v>1.1021000000000001</v>
      </c>
      <c r="H6" s="19">
        <f>'P&amp;L'!H27</f>
        <v>1.1021000000000001</v>
      </c>
    </row>
    <row r="7" spans="1:9" ht="30" x14ac:dyDescent="0.25">
      <c r="A7" s="10" t="s">
        <v>543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544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545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361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546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547</v>
      </c>
      <c r="B16" s="345" t="e">
        <f>SUM(B12:G12)/6</f>
        <v>#DIV/0!</v>
      </c>
      <c r="C16" s="345"/>
      <c r="D16" s="345"/>
      <c r="E16" s="345"/>
      <c r="F16" s="345"/>
      <c r="G16" s="345"/>
      <c r="H16" s="345"/>
    </row>
    <row r="17" spans="1:8" hidden="1" x14ac:dyDescent="0.25">
      <c r="A17" s="8" t="s">
        <v>548</v>
      </c>
      <c r="B17" s="345" t="e">
        <f>SUM(B14:G14)/6</f>
        <v>#DIV/0!</v>
      </c>
      <c r="C17" s="345"/>
      <c r="D17" s="345"/>
      <c r="E17" s="345"/>
      <c r="F17" s="345"/>
      <c r="G17" s="345"/>
      <c r="H17" s="345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A28" sqref="A28:K44"/>
    </sheetView>
  </sheetViews>
  <sheetFormatPr defaultRowHeight="15" x14ac:dyDescent="0.25"/>
  <cols>
    <col min="1" max="1" width="21.7109375" style="104" customWidth="1"/>
    <col min="2" max="2" width="10.5703125" style="104" customWidth="1"/>
    <col min="3" max="11" width="8.42578125" style="104" customWidth="1"/>
    <col min="12" max="14" width="9.140625" style="104"/>
    <col min="15" max="15" width="23.42578125" style="104" bestFit="1" customWidth="1"/>
    <col min="16" max="16384" width="9.140625" style="104"/>
  </cols>
  <sheetData>
    <row r="1" spans="1:15" hidden="1" x14ac:dyDescent="0.25">
      <c r="A1" s="133" t="s">
        <v>350</v>
      </c>
      <c r="B1" s="100"/>
      <c r="C1" s="100"/>
      <c r="D1" s="100"/>
      <c r="E1" s="100"/>
      <c r="F1" s="100"/>
      <c r="G1" s="100"/>
      <c r="H1" s="100"/>
    </row>
    <row r="2" spans="1:15" hidden="1" x14ac:dyDescent="0.25">
      <c r="A2" s="100" t="s">
        <v>1</v>
      </c>
      <c r="B2" s="177" t="s">
        <v>36</v>
      </c>
      <c r="C2" s="177" t="s">
        <v>37</v>
      </c>
      <c r="D2" s="177" t="s">
        <v>38</v>
      </c>
      <c r="E2" s="177" t="s">
        <v>39</v>
      </c>
      <c r="F2" s="177" t="s">
        <v>40</v>
      </c>
      <c r="G2" s="177" t="s">
        <v>41</v>
      </c>
      <c r="H2" s="177" t="s">
        <v>42</v>
      </c>
    </row>
    <row r="3" spans="1:15" hidden="1" x14ac:dyDescent="0.25">
      <c r="A3" s="36" t="s">
        <v>351</v>
      </c>
      <c r="B3" s="72">
        <f>'P&amp;L'!B36</f>
        <v>12.9704415625</v>
      </c>
      <c r="C3" s="72">
        <f>'P&amp;L'!C36</f>
        <v>20.29382777781251</v>
      </c>
      <c r="D3" s="72">
        <f>'P&amp;L'!D36</f>
        <v>23.591396027328141</v>
      </c>
      <c r="E3" s="72">
        <f>'P&amp;L'!E36</f>
        <v>29.319189156507015</v>
      </c>
      <c r="F3" s="72">
        <f>'P&amp;L'!F36</f>
        <v>35.660989473707389</v>
      </c>
      <c r="G3" s="72">
        <f>'P&amp;L'!G36</f>
        <v>42.872741263330298</v>
      </c>
      <c r="H3" s="72">
        <f>'P&amp;L'!H36</f>
        <v>50.988824065815535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352</v>
      </c>
      <c r="B5" s="72">
        <f>'P&amp;L'!B32</f>
        <v>10.317322000000001</v>
      </c>
      <c r="C5" s="72">
        <f>'P&amp;L'!C32</f>
        <v>10.317322000000001</v>
      </c>
      <c r="D5" s="72">
        <f>'P&amp;L'!D32</f>
        <v>10.317322000000001</v>
      </c>
      <c r="E5" s="72">
        <f>'P&amp;L'!E32</f>
        <v>10.317322000000001</v>
      </c>
      <c r="F5" s="72">
        <f>'P&amp;L'!F32</f>
        <v>10.317322000000001</v>
      </c>
      <c r="G5" s="72">
        <f>'P&amp;L'!G32</f>
        <v>10.317322000000001</v>
      </c>
      <c r="H5" s="72">
        <f>'P&amp;L'!H32</f>
        <v>10.317322000000001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4"/>
      <c r="M6" s="224"/>
      <c r="O6" s="120"/>
    </row>
    <row r="7" spans="1:15" hidden="1" x14ac:dyDescent="0.25">
      <c r="A7" s="36" t="s">
        <v>353</v>
      </c>
      <c r="B7" s="72">
        <f>'P&amp;L'!B27</f>
        <v>1.1021000000000001</v>
      </c>
      <c r="C7" s="72">
        <f>'P&amp;L'!C27</f>
        <v>1.1021000000000001</v>
      </c>
      <c r="D7" s="72">
        <f>'P&amp;L'!D27</f>
        <v>1.1021000000000001</v>
      </c>
      <c r="E7" s="72">
        <f>'P&amp;L'!E27</f>
        <v>1.1021000000000001</v>
      </c>
      <c r="F7" s="72">
        <f>'P&amp;L'!F27</f>
        <v>1.1021000000000001</v>
      </c>
      <c r="G7" s="72">
        <f>'P&amp;L'!G27</f>
        <v>1.1021000000000001</v>
      </c>
      <c r="H7" s="72">
        <f>'P&amp;L'!H27</f>
        <v>1.1021000000000001</v>
      </c>
      <c r="I7" s="1"/>
      <c r="J7" s="1"/>
      <c r="K7" s="1"/>
      <c r="L7" s="120"/>
      <c r="M7" s="224"/>
      <c r="O7" s="120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4"/>
      <c r="M8" s="224"/>
      <c r="O8" s="120"/>
    </row>
    <row r="9" spans="1:15" hidden="1" x14ac:dyDescent="0.25">
      <c r="A9" s="77" t="s">
        <v>438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354</v>
      </c>
      <c r="B11" s="72">
        <f>B3+B5+B7</f>
        <v>24.3898635625</v>
      </c>
      <c r="C11" s="72">
        <f t="shared" ref="C11:G11" si="0">C3+C5+C7</f>
        <v>31.713249777812511</v>
      </c>
      <c r="D11" s="72">
        <f t="shared" si="0"/>
        <v>35.010818027328142</v>
      </c>
      <c r="E11" s="72">
        <f t="shared" si="0"/>
        <v>40.738611156507012</v>
      </c>
      <c r="F11" s="72">
        <f t="shared" si="0"/>
        <v>47.080411473707393</v>
      </c>
      <c r="G11" s="72">
        <f t="shared" si="0"/>
        <v>54.292163263330302</v>
      </c>
      <c r="H11" s="72">
        <f>H3+H5+H7+H9</f>
        <v>62.40824606581554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355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7" t="s">
        <v>439</v>
      </c>
      <c r="B15" s="44">
        <f t="shared" ref="B15:H15" si="2">B11*B13</f>
        <v>22.172603238636363</v>
      </c>
      <c r="C15" s="44">
        <f t="shared" si="2"/>
        <v>26.209297337035132</v>
      </c>
      <c r="D15" s="44">
        <f t="shared" si="2"/>
        <v>26.304145775603409</v>
      </c>
      <c r="E15" s="44">
        <f t="shared" si="2"/>
        <v>27.825019572779865</v>
      </c>
      <c r="F15" s="44">
        <f t="shared" si="2"/>
        <v>29.233231382423813</v>
      </c>
      <c r="G15" s="44">
        <f t="shared" si="2"/>
        <v>30.646510768373357</v>
      </c>
      <c r="H15" s="44">
        <f t="shared" si="2"/>
        <v>32.025298113212791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440</v>
      </c>
      <c r="B17" s="9">
        <f>SUM(B15:H15)</f>
        <v>194.41610618806473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4" t="s">
        <v>441</v>
      </c>
      <c r="B20" s="116">
        <f>'Project Glance'!B15</f>
        <v>233.8440979166667</v>
      </c>
      <c r="D20" s="116"/>
      <c r="E20" s="121"/>
      <c r="F20" s="121"/>
      <c r="G20" s="121"/>
      <c r="H20" s="121"/>
      <c r="I20" s="121"/>
      <c r="J20" s="121"/>
    </row>
    <row r="21" spans="1:11" hidden="1" x14ac:dyDescent="0.25">
      <c r="E21" s="38"/>
      <c r="F21" s="121"/>
      <c r="G21" s="121"/>
      <c r="H21" s="121"/>
      <c r="I21" s="121"/>
      <c r="J21" s="121"/>
    </row>
    <row r="22" spans="1:11" s="119" customFormat="1" hidden="1" x14ac:dyDescent="0.25">
      <c r="A22" s="178" t="s">
        <v>442</v>
      </c>
      <c r="B22" s="179">
        <f>B17-B20</f>
        <v>-39.427991728601967</v>
      </c>
    </row>
    <row r="23" spans="1:11" hidden="1" x14ac:dyDescent="0.25"/>
    <row r="24" spans="1:11" hidden="1" x14ac:dyDescent="0.25">
      <c r="A24" s="138" t="s">
        <v>356</v>
      </c>
      <c r="B24" s="140" t="e">
        <f>IRR(B11:H11)</f>
        <v>#NUM!</v>
      </c>
    </row>
    <row r="25" spans="1:11" hidden="1" x14ac:dyDescent="0.25">
      <c r="A25" s="119"/>
      <c r="B25" s="119"/>
    </row>
    <row r="26" spans="1:11" hidden="1" x14ac:dyDescent="0.25">
      <c r="A26" s="138" t="s">
        <v>448</v>
      </c>
      <c r="B26" s="139">
        <f>AVERAGE('P&amp;L'!B36:H36)/'Project Glance'!B23</f>
        <v>0.1317711923998352</v>
      </c>
      <c r="D26" s="120"/>
    </row>
    <row r="28" spans="1:11" x14ac:dyDescent="0.25">
      <c r="A28" s="122" t="s">
        <v>1</v>
      </c>
      <c r="B28" s="122" t="s">
        <v>36</v>
      </c>
      <c r="C28" s="122" t="s">
        <v>37</v>
      </c>
      <c r="D28" s="122" t="s">
        <v>38</v>
      </c>
      <c r="E28" s="122" t="s">
        <v>39</v>
      </c>
      <c r="F28" s="122" t="s">
        <v>40</v>
      </c>
      <c r="G28" s="122" t="s">
        <v>41</v>
      </c>
      <c r="H28" s="122" t="s">
        <v>42</v>
      </c>
      <c r="I28" s="122" t="s">
        <v>499</v>
      </c>
      <c r="J28" s="122" t="s">
        <v>500</v>
      </c>
      <c r="K28" s="122" t="s">
        <v>501</v>
      </c>
    </row>
    <row r="29" spans="1:11" x14ac:dyDescent="0.25">
      <c r="A29" s="36" t="s">
        <v>351</v>
      </c>
      <c r="B29" s="72">
        <f>+'P&amp;L'!B36</f>
        <v>12.9704415625</v>
      </c>
      <c r="C29" s="72">
        <f>+'P&amp;L'!C36</f>
        <v>20.29382777781251</v>
      </c>
      <c r="D29" s="72">
        <f>+'P&amp;L'!D36</f>
        <v>23.591396027328141</v>
      </c>
      <c r="E29" s="72">
        <f>+'P&amp;L'!E36</f>
        <v>29.319189156507015</v>
      </c>
      <c r="F29" s="72">
        <f>+'P&amp;L'!F36</f>
        <v>35.660989473707389</v>
      </c>
      <c r="G29" s="72">
        <f>+'P&amp;L'!G36</f>
        <v>42.872741263330298</v>
      </c>
      <c r="H29" s="72">
        <f>+'P&amp;L'!H36</f>
        <v>50.988824065815535</v>
      </c>
      <c r="I29" s="72">
        <f>+'P&amp;L'!I36</f>
        <v>60.493814370179685</v>
      </c>
      <c r="J29" s="72">
        <f>+'P&amp;L'!J36</f>
        <v>71.131888088991531</v>
      </c>
      <c r="K29" s="72">
        <f>+'P&amp;L'!K36</f>
        <v>82.693228255348203</v>
      </c>
    </row>
    <row r="30" spans="1:11" x14ac:dyDescent="0.25">
      <c r="A30" s="36" t="s">
        <v>358</v>
      </c>
      <c r="B30" s="72">
        <f>SUM(B36:B40)</f>
        <v>36.188558437499999</v>
      </c>
      <c r="C30" s="72">
        <f t="shared" ref="C30:K30" si="3">SUM(C36:C40)</f>
        <v>37.597630790624997</v>
      </c>
      <c r="D30" s="72">
        <f t="shared" si="3"/>
        <v>38.994580889531257</v>
      </c>
      <c r="E30" s="72">
        <f t="shared" si="3"/>
        <v>40.499187437132825</v>
      </c>
      <c r="F30" s="72">
        <f t="shared" si="3"/>
        <v>42.053902977739455</v>
      </c>
      <c r="G30" s="72">
        <f t="shared" si="3"/>
        <v>43.707180267251438</v>
      </c>
      <c r="H30" s="72">
        <f t="shared" si="3"/>
        <v>45.471070330614005</v>
      </c>
      <c r="I30" s="72">
        <f t="shared" si="3"/>
        <v>47.297651287769717</v>
      </c>
      <c r="J30" s="72">
        <f t="shared" si="3"/>
        <v>49.240430092783193</v>
      </c>
      <c r="K30" s="72">
        <f t="shared" si="3"/>
        <v>51.328702081797367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357</v>
      </c>
      <c r="B33" s="72">
        <f>SUM(B29:B32)</f>
        <v>49.158999999999999</v>
      </c>
      <c r="C33" s="72">
        <f t="shared" ref="C33:K33" si="4">SUM(C29:C32)</f>
        <v>57.891458568437507</v>
      </c>
      <c r="D33" s="72">
        <f t="shared" si="4"/>
        <v>62.585976916859394</v>
      </c>
      <c r="E33" s="72">
        <f t="shared" si="4"/>
        <v>69.81837659363984</v>
      </c>
      <c r="F33" s="72">
        <f t="shared" si="4"/>
        <v>77.714892451446843</v>
      </c>
      <c r="G33" s="72">
        <f t="shared" si="4"/>
        <v>86.579921530581743</v>
      </c>
      <c r="H33" s="72">
        <f t="shared" si="4"/>
        <v>96.459894396429547</v>
      </c>
      <c r="I33" s="72">
        <f t="shared" si="4"/>
        <v>107.7914656579494</v>
      </c>
      <c r="J33" s="72">
        <f t="shared" si="4"/>
        <v>120.37231818177472</v>
      </c>
      <c r="K33" s="72">
        <f t="shared" si="4"/>
        <v>134.02193033714556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358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443</v>
      </c>
      <c r="B36" s="73">
        <f>'P&amp;L'!B23</f>
        <v>24.1203</v>
      </c>
      <c r="C36" s="73">
        <f>'P&amp;L'!C23</f>
        <v>25.326315000000001</v>
      </c>
      <c r="D36" s="73">
        <f>'P&amp;L'!D23</f>
        <v>26.592630750000005</v>
      </c>
      <c r="E36" s="73">
        <f>'P&amp;L'!E23</f>
        <v>27.922262287500011</v>
      </c>
      <c r="F36" s="73">
        <f>'P&amp;L'!F23</f>
        <v>29.318375401875002</v>
      </c>
      <c r="G36" s="73">
        <f>'P&amp;L'!G23</f>
        <v>30.78429417196876</v>
      </c>
      <c r="H36" s="73">
        <f>'P&amp;L'!H23</f>
        <v>32.323508880567196</v>
      </c>
      <c r="I36" s="73">
        <f>'P&amp;L'!I23</f>
        <v>33.939684324595561</v>
      </c>
      <c r="J36" s="73">
        <f>'P&amp;L'!J23</f>
        <v>35.636668540825333</v>
      </c>
      <c r="K36" s="73">
        <f>'P&amp;L'!K23</f>
        <v>37.418501967866611</v>
      </c>
    </row>
    <row r="37" spans="1:11" x14ac:dyDescent="0.25">
      <c r="A37" s="36" t="s">
        <v>444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445</v>
      </c>
      <c r="B38" s="73">
        <f>'P&amp;L'!B31</f>
        <v>0.64883643749999986</v>
      </c>
      <c r="C38" s="73">
        <f>'P&amp;L'!C31</f>
        <v>0.85189379062499981</v>
      </c>
      <c r="D38" s="73">
        <f>'P&amp;L'!D31</f>
        <v>0.98252813953124996</v>
      </c>
      <c r="E38" s="73">
        <f>'P&amp;L'!E31</f>
        <v>1.1575031496328123</v>
      </c>
      <c r="F38" s="73">
        <f>'P&amp;L'!F31</f>
        <v>1.3161055758644531</v>
      </c>
      <c r="G38" s="73">
        <f>'P&amp;L'!G31</f>
        <v>1.5034640952826761</v>
      </c>
      <c r="H38" s="73">
        <f>'P&amp;L'!H31</f>
        <v>1.7281394500468097</v>
      </c>
      <c r="I38" s="73">
        <f>'P&amp;L'!I31</f>
        <v>1.9385449631741503</v>
      </c>
      <c r="J38" s="73">
        <f>'P&amp;L'!J31</f>
        <v>2.1843395519578577</v>
      </c>
      <c r="K38" s="73">
        <f>'P&amp;L'!K31</f>
        <v>2.4907781139307503</v>
      </c>
    </row>
    <row r="39" spans="1:11" x14ac:dyDescent="0.25">
      <c r="A39" s="36" t="s">
        <v>363</v>
      </c>
      <c r="B39" s="73">
        <f>'P&amp;L'!B32</f>
        <v>10.317322000000001</v>
      </c>
      <c r="C39" s="73">
        <f>'P&amp;L'!C32</f>
        <v>10.317322000000001</v>
      </c>
      <c r="D39" s="73">
        <f>'P&amp;L'!D32</f>
        <v>10.317322000000001</v>
      </c>
      <c r="E39" s="73">
        <f>'P&amp;L'!E32</f>
        <v>10.317322000000001</v>
      </c>
      <c r="F39" s="73">
        <f>'P&amp;L'!F32</f>
        <v>10.317322000000001</v>
      </c>
      <c r="G39" s="73">
        <f>'P&amp;L'!G32</f>
        <v>10.317322000000001</v>
      </c>
      <c r="H39" s="73">
        <f>'P&amp;L'!H32</f>
        <v>10.317322000000001</v>
      </c>
      <c r="I39" s="73">
        <f>'P&amp;L'!I32</f>
        <v>10.317322000000001</v>
      </c>
      <c r="J39" s="73">
        <f>'P&amp;L'!J32</f>
        <v>10.317322000000001</v>
      </c>
      <c r="K39" s="73">
        <f>'P&amp;L'!K32</f>
        <v>10.317322000000001</v>
      </c>
    </row>
    <row r="40" spans="1:11" x14ac:dyDescent="0.25">
      <c r="A40" s="36" t="s">
        <v>446</v>
      </c>
      <c r="B40" s="73">
        <f>'P&amp;L'!B27</f>
        <v>1.1021000000000001</v>
      </c>
      <c r="C40" s="73">
        <f>'P&amp;L'!C27</f>
        <v>1.1021000000000001</v>
      </c>
      <c r="D40" s="73">
        <f>'P&amp;L'!D27</f>
        <v>1.1021000000000001</v>
      </c>
      <c r="E40" s="73">
        <f>'P&amp;L'!E27</f>
        <v>1.1021000000000001</v>
      </c>
      <c r="F40" s="73">
        <f>'P&amp;L'!F27</f>
        <v>1.1021000000000001</v>
      </c>
      <c r="G40" s="73">
        <f>'P&amp;L'!G27</f>
        <v>1.1021000000000001</v>
      </c>
      <c r="H40" s="73">
        <f>'P&amp;L'!H27</f>
        <v>1.1021000000000001</v>
      </c>
      <c r="I40" s="73">
        <f>'P&amp;L'!I27</f>
        <v>1.1021000000000001</v>
      </c>
      <c r="J40" s="73">
        <f>'P&amp;L'!J27</f>
        <v>1.1021000000000001</v>
      </c>
      <c r="K40" s="73">
        <f>'P&amp;L'!K27</f>
        <v>1.1021000000000001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359</v>
      </c>
      <c r="B42" s="123">
        <f>(B36+B37+B38+B39+B40)/B33</f>
        <v>0.7361532666958237</v>
      </c>
      <c r="C42" s="123">
        <f t="shared" ref="C42:K42" si="5">(C36+C37+C38+C39+C40)/C33</f>
        <v>0.64945039769862134</v>
      </c>
      <c r="D42" s="123">
        <f t="shared" si="5"/>
        <v>0.62305619901615539</v>
      </c>
      <c r="E42" s="123">
        <f t="shared" si="5"/>
        <v>0.58006486849226069</v>
      </c>
      <c r="F42" s="123">
        <f t="shared" si="5"/>
        <v>0.54113055620598138</v>
      </c>
      <c r="G42" s="123">
        <f t="shared" si="5"/>
        <v>0.50481889443400796</v>
      </c>
      <c r="H42" s="123">
        <f t="shared" si="5"/>
        <v>0.47139871565417257</v>
      </c>
      <c r="I42" s="123">
        <f t="shared" si="5"/>
        <v>0.43878846065473842</v>
      </c>
      <c r="J42" s="123">
        <f t="shared" si="5"/>
        <v>0.40906772284990828</v>
      </c>
      <c r="K42" s="123">
        <f t="shared" si="5"/>
        <v>0.3829873361223412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6" t="s">
        <v>360</v>
      </c>
      <c r="B44" s="137">
        <f>AVERAGE(B42:K42)</f>
        <v>0.53369164178240114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9"/>
      <c r="B45" s="119"/>
    </row>
    <row r="46" spans="1:11" hidden="1" x14ac:dyDescent="0.25">
      <c r="A46" s="138" t="s">
        <v>447</v>
      </c>
      <c r="B46" s="138"/>
    </row>
    <row r="47" spans="1:11" hidden="1" x14ac:dyDescent="0.25">
      <c r="A47" s="119"/>
      <c r="B47" s="119"/>
    </row>
    <row r="49" spans="1:11" x14ac:dyDescent="0.25">
      <c r="A49" s="15" t="s">
        <v>361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499</v>
      </c>
      <c r="J49" s="46" t="s">
        <v>500</v>
      </c>
      <c r="K49" s="46" t="s">
        <v>501</v>
      </c>
    </row>
    <row r="50" spans="1:11" x14ac:dyDescent="0.25">
      <c r="A50" s="36" t="s">
        <v>362</v>
      </c>
      <c r="B50" s="72">
        <f>'P&amp;L'!B36</f>
        <v>12.9704415625</v>
      </c>
      <c r="C50" s="72">
        <f>'P&amp;L'!C36</f>
        <v>20.29382777781251</v>
      </c>
      <c r="D50" s="72">
        <f>'P&amp;L'!D36</f>
        <v>23.591396027328141</v>
      </c>
      <c r="E50" s="72">
        <f>'P&amp;L'!E36</f>
        <v>29.319189156507015</v>
      </c>
      <c r="F50" s="72">
        <f>'P&amp;L'!F36</f>
        <v>35.660989473707389</v>
      </c>
      <c r="G50" s="72">
        <f>'P&amp;L'!G36</f>
        <v>42.872741263330298</v>
      </c>
      <c r="H50" s="72">
        <f>'P&amp;L'!H36</f>
        <v>50.988824065815535</v>
      </c>
      <c r="I50" s="72">
        <f>'P&amp;L'!I36</f>
        <v>60.493814370179685</v>
      </c>
      <c r="J50" s="72">
        <f>'P&amp;L'!J36</f>
        <v>71.131888088991531</v>
      </c>
      <c r="K50" s="72">
        <f>'P&amp;L'!K36</f>
        <v>82.693228255348203</v>
      </c>
    </row>
    <row r="51" spans="1:11" x14ac:dyDescent="0.25">
      <c r="A51" s="36" t="s">
        <v>363</v>
      </c>
      <c r="B51" s="72">
        <f>'P&amp;L'!B32</f>
        <v>10.317322000000001</v>
      </c>
      <c r="C51" s="72">
        <f>'P&amp;L'!C32</f>
        <v>10.317322000000001</v>
      </c>
      <c r="D51" s="72">
        <f>'P&amp;L'!D32</f>
        <v>10.317322000000001</v>
      </c>
      <c r="E51" s="72">
        <f>'P&amp;L'!E32</f>
        <v>10.317322000000001</v>
      </c>
      <c r="F51" s="72">
        <f>'P&amp;L'!F32</f>
        <v>10.317322000000001</v>
      </c>
      <c r="G51" s="72">
        <f>'P&amp;L'!G32</f>
        <v>10.317322000000001</v>
      </c>
      <c r="H51" s="72">
        <f>'P&amp;L'!H32</f>
        <v>10.317322000000001</v>
      </c>
      <c r="I51" s="72">
        <f>'P&amp;L'!I32</f>
        <v>10.317322000000001</v>
      </c>
      <c r="J51" s="72">
        <f>'P&amp;L'!J32</f>
        <v>10.317322000000001</v>
      </c>
      <c r="K51" s="72">
        <f>'P&amp;L'!K32</f>
        <v>10.317322000000001</v>
      </c>
    </row>
    <row r="52" spans="1:11" x14ac:dyDescent="0.25">
      <c r="A52" s="36" t="s">
        <v>364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446</v>
      </c>
      <c r="B53" s="72">
        <f>'P&amp;L'!B27</f>
        <v>1.1021000000000001</v>
      </c>
      <c r="C53" s="72">
        <f>'P&amp;L'!C27</f>
        <v>1.1021000000000001</v>
      </c>
      <c r="D53" s="72">
        <f>'P&amp;L'!D27</f>
        <v>1.1021000000000001</v>
      </c>
      <c r="E53" s="72">
        <f>'P&amp;L'!E27</f>
        <v>1.1021000000000001</v>
      </c>
      <c r="F53" s="72">
        <f>'P&amp;L'!F27</f>
        <v>1.1021000000000001</v>
      </c>
      <c r="G53" s="72">
        <f>'P&amp;L'!G27</f>
        <v>1.1021000000000001</v>
      </c>
      <c r="H53" s="72">
        <f>'P&amp;L'!H27</f>
        <v>1.1021000000000001</v>
      </c>
      <c r="I53" s="72">
        <f>'P&amp;L'!I27</f>
        <v>1.1021000000000001</v>
      </c>
      <c r="J53" s="72">
        <f>'P&amp;L'!J27</f>
        <v>1.1021000000000001</v>
      </c>
      <c r="K53" s="72">
        <f>'P&amp;L'!K27</f>
        <v>1.1021000000000001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365</v>
      </c>
      <c r="B55" s="72">
        <f>SUM(B50:B54)</f>
        <v>24.3898635625</v>
      </c>
      <c r="C55" s="72">
        <f t="shared" ref="C55:H55" si="6">SUM(C50:C54)</f>
        <v>31.713249777812511</v>
      </c>
      <c r="D55" s="72">
        <f t="shared" si="6"/>
        <v>35.010818027328142</v>
      </c>
      <c r="E55" s="72">
        <f t="shared" si="6"/>
        <v>40.738611156507012</v>
      </c>
      <c r="F55" s="72">
        <f t="shared" si="6"/>
        <v>47.080411473707393</v>
      </c>
      <c r="G55" s="72">
        <f t="shared" si="6"/>
        <v>54.292163263330302</v>
      </c>
      <c r="H55" s="72">
        <f t="shared" si="6"/>
        <v>62.40824606581554</v>
      </c>
      <c r="I55" s="72">
        <f t="shared" ref="I55:K55" si="7">SUM(I50:I54)</f>
        <v>71.913236370179675</v>
      </c>
      <c r="J55" s="72">
        <f t="shared" si="7"/>
        <v>82.551310088991528</v>
      </c>
      <c r="K55" s="72">
        <f t="shared" si="7"/>
        <v>94.1126502553482</v>
      </c>
    </row>
    <row r="56" spans="1:11" x14ac:dyDescent="0.25">
      <c r="A56" s="36" t="s">
        <v>366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4" t="s">
        <v>361</v>
      </c>
      <c r="B58" s="125" t="e">
        <f>B55/B56</f>
        <v>#DIV/0!</v>
      </c>
      <c r="C58" s="125" t="e">
        <f t="shared" ref="C58:G58" si="8">C55/C56</f>
        <v>#DIV/0!</v>
      </c>
      <c r="D58" s="125" t="e">
        <f t="shared" si="8"/>
        <v>#DIV/0!</v>
      </c>
      <c r="E58" s="125" t="e">
        <f t="shared" si="8"/>
        <v>#DIV/0!</v>
      </c>
      <c r="F58" s="125" t="e">
        <f t="shared" si="8"/>
        <v>#DIV/0!</v>
      </c>
      <c r="G58" s="125" t="e">
        <f t="shared" si="8"/>
        <v>#DIV/0!</v>
      </c>
      <c r="H58" s="125">
        <v>0</v>
      </c>
      <c r="I58" s="125">
        <v>0</v>
      </c>
      <c r="J58" s="125">
        <v>0</v>
      </c>
      <c r="K58" s="125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4" t="s">
        <v>367</v>
      </c>
      <c r="B60" s="125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ax="59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46"/>
      <c r="E1" s="346"/>
      <c r="F1" s="346"/>
      <c r="G1" s="346"/>
      <c r="H1" s="346"/>
      <c r="I1" s="346"/>
      <c r="J1" s="347"/>
    </row>
    <row r="2" spans="1:10" x14ac:dyDescent="0.25">
      <c r="A2" s="192" t="s">
        <v>470</v>
      </c>
      <c r="B2" s="192" t="s">
        <v>1</v>
      </c>
      <c r="C2" s="193" t="s">
        <v>471</v>
      </c>
      <c r="D2" s="193" t="s">
        <v>477</v>
      </c>
      <c r="E2" s="193" t="s">
        <v>37</v>
      </c>
      <c r="F2" s="46" t="s">
        <v>38</v>
      </c>
      <c r="G2" s="193" t="s">
        <v>39</v>
      </c>
      <c r="H2" s="193" t="s">
        <v>40</v>
      </c>
      <c r="I2" s="46" t="s">
        <v>41</v>
      </c>
      <c r="J2" s="193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476</v>
      </c>
      <c r="C4" s="43">
        <v>1000</v>
      </c>
      <c r="D4" s="9">
        <f>'P&amp;L'!B36*100000/('Output Schedule'!B12+'Output Schedule'!B17)</f>
        <v>324.2610390625</v>
      </c>
      <c r="E4" s="9">
        <f>'P&amp;L'!C36*100000/('Output Schedule'!C12+'Output Schedule'!C17)</f>
        <v>461.22335858664781</v>
      </c>
      <c r="F4" s="9">
        <f>'P&amp;L'!D36*100000/('Output Schedule'!D12+'Output Schedule'!D17)</f>
        <v>491.48741723600278</v>
      </c>
      <c r="G4" s="9">
        <f>'P&amp;L'!E36*100000/('Output Schedule'!E12+'Output Schedule'!E17)</f>
        <v>563.83056070205794</v>
      </c>
      <c r="H4" s="9">
        <f>'P&amp;L'!F36*100000/('Output Schedule'!F12+'Output Schedule'!F17)</f>
        <v>636.80338345906034</v>
      </c>
      <c r="I4" s="9">
        <f>'P&amp;L'!G36*100000/('Output Schedule'!G12+'Output Schedule'!G17)</f>
        <v>714.54568772217146</v>
      </c>
      <c r="J4" s="9">
        <f>'P&amp;L'!H36*100000/('Output Schedule'!H12+'Output Schedule'!H17)</f>
        <v>796.70037602836749</v>
      </c>
    </row>
    <row r="5" spans="1:10" x14ac:dyDescent="0.25">
      <c r="A5" s="6"/>
      <c r="B5" s="83" t="s">
        <v>490</v>
      </c>
      <c r="C5" s="190"/>
      <c r="D5" s="11">
        <f>D4</f>
        <v>324.2610390625</v>
      </c>
      <c r="E5" s="11">
        <f t="shared" ref="E5:J5" si="0">E4</f>
        <v>461.22335858664781</v>
      </c>
      <c r="F5" s="11">
        <f t="shared" si="0"/>
        <v>491.48741723600278</v>
      </c>
      <c r="G5" s="11">
        <f t="shared" si="0"/>
        <v>563.83056070205794</v>
      </c>
      <c r="H5" s="11">
        <f t="shared" si="0"/>
        <v>636.80338345906034</v>
      </c>
      <c r="I5" s="11">
        <f t="shared" si="0"/>
        <v>714.54568772217146</v>
      </c>
      <c r="J5" s="11">
        <f t="shared" si="0"/>
        <v>796.70037602836749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4"/>
      <c r="B7" s="195"/>
      <c r="C7" s="196"/>
      <c r="D7" s="197"/>
      <c r="E7" s="197"/>
      <c r="F7" s="197"/>
      <c r="G7" s="197"/>
      <c r="H7" s="197"/>
      <c r="I7" s="197"/>
      <c r="J7" s="197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8"/>
      <c r="B9" s="199" t="s">
        <v>472</v>
      </c>
      <c r="C9" s="200"/>
      <c r="D9" s="198"/>
      <c r="E9" s="198"/>
      <c r="F9" s="198"/>
      <c r="G9" s="198"/>
      <c r="H9" s="198"/>
      <c r="I9" s="198"/>
      <c r="J9" s="198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473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2" t="s">
        <v>474</v>
      </c>
      <c r="C12" s="43"/>
      <c r="D12" s="11">
        <f>D5*0.6</f>
        <v>194.55662343750001</v>
      </c>
      <c r="E12" s="11">
        <f t="shared" ref="E12:J12" si="1">E5*0.6</f>
        <v>276.73401515198867</v>
      </c>
      <c r="F12" s="11">
        <f t="shared" si="1"/>
        <v>294.89245034160166</v>
      </c>
      <c r="G12" s="11">
        <f t="shared" si="1"/>
        <v>338.29833642123475</v>
      </c>
      <c r="H12" s="11">
        <f t="shared" si="1"/>
        <v>382.08203007543619</v>
      </c>
      <c r="I12" s="11">
        <f t="shared" si="1"/>
        <v>428.72741263330289</v>
      </c>
      <c r="J12" s="11">
        <f t="shared" si="1"/>
        <v>478.02022561702046</v>
      </c>
    </row>
    <row r="13" spans="1:10" x14ac:dyDescent="0.25">
      <c r="A13" s="6"/>
      <c r="B13" s="202" t="s">
        <v>475</v>
      </c>
      <c r="C13" s="43"/>
      <c r="D13" s="11">
        <f>D5*0.4</f>
        <v>129.704415625</v>
      </c>
      <c r="E13" s="11">
        <f t="shared" ref="E13:J13" si="2">E5*0.4</f>
        <v>184.48934343465913</v>
      </c>
      <c r="F13" s="11">
        <f t="shared" si="2"/>
        <v>196.59496689440113</v>
      </c>
      <c r="G13" s="11">
        <f t="shared" si="2"/>
        <v>225.53222428082319</v>
      </c>
      <c r="H13" s="11">
        <f t="shared" si="2"/>
        <v>254.72135338362415</v>
      </c>
      <c r="I13" s="11">
        <f t="shared" si="2"/>
        <v>285.81827508886857</v>
      </c>
      <c r="J13" s="11">
        <f t="shared" si="2"/>
        <v>318.68015041134703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4" t="s">
        <v>1</v>
      </c>
      <c r="B1" s="191" t="s">
        <v>36</v>
      </c>
      <c r="C1" s="191" t="s">
        <v>37</v>
      </c>
      <c r="D1" s="191" t="s">
        <v>38</v>
      </c>
      <c r="E1" s="191" t="s">
        <v>39</v>
      </c>
      <c r="F1" s="191" t="s">
        <v>40</v>
      </c>
      <c r="G1" s="191" t="s">
        <v>41</v>
      </c>
      <c r="H1" s="191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478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479</v>
      </c>
      <c r="B4" s="205">
        <f>'Output Schedule'!B12+'Output Schedule'!B17</f>
        <v>4000</v>
      </c>
      <c r="C4" s="205">
        <f>'Output Schedule'!C12+'Output Schedule'!C17</f>
        <v>4400.0000000000009</v>
      </c>
      <c r="D4" s="205">
        <f>'Output Schedule'!D12+'Output Schedule'!D17</f>
        <v>4800.0000000000009</v>
      </c>
      <c r="E4" s="205">
        <f>'Output Schedule'!E12+'Output Schedule'!E17</f>
        <v>5200.0000000000009</v>
      </c>
      <c r="F4" s="205">
        <f>'Output Schedule'!F12+'Output Schedule'!F17</f>
        <v>5600.0000000000009</v>
      </c>
      <c r="G4" s="205">
        <f>'Output Schedule'!G12+'Output Schedule'!G17</f>
        <v>6000.0000000000018</v>
      </c>
      <c r="H4" s="205">
        <f>'Output Schedule'!H12+'Output Schedule'!H17</f>
        <v>6400.0000000000018</v>
      </c>
    </row>
    <row r="5" spans="1:8" x14ac:dyDescent="0.25">
      <c r="A5" s="10" t="s">
        <v>480</v>
      </c>
      <c r="B5" s="19">
        <f>'[2]Prices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492</v>
      </c>
      <c r="B6" s="9">
        <f t="shared" ref="B6:H6" si="0">B4/$B$5</f>
        <v>813.16872427983549</v>
      </c>
      <c r="C6" s="9">
        <f t="shared" si="0"/>
        <v>894.48559670781913</v>
      </c>
      <c r="D6" s="9">
        <f t="shared" si="0"/>
        <v>975.80246913580277</v>
      </c>
      <c r="E6" s="9">
        <f t="shared" si="0"/>
        <v>1057.1193415637863</v>
      </c>
      <c r="F6" s="9">
        <f t="shared" si="0"/>
        <v>1138.4362139917698</v>
      </c>
      <c r="G6" s="9">
        <f t="shared" si="0"/>
        <v>1219.7530864197536</v>
      </c>
      <c r="H6" s="9">
        <f t="shared" si="0"/>
        <v>1301.0699588477371</v>
      </c>
    </row>
    <row r="7" spans="1:8" x14ac:dyDescent="0.25">
      <c r="A7" s="10" t="s">
        <v>493</v>
      </c>
      <c r="B7" s="9">
        <f>B6/2.47</f>
        <v>329.2181069958848</v>
      </c>
      <c r="C7" s="9">
        <f t="shared" ref="C7:H7" si="1">C6/2.47</f>
        <v>362.13991769547329</v>
      </c>
      <c r="D7" s="9">
        <f t="shared" si="1"/>
        <v>395.06172839506183</v>
      </c>
      <c r="E7" s="9">
        <f t="shared" si="1"/>
        <v>427.98353909465027</v>
      </c>
      <c r="F7" s="9">
        <f t="shared" si="1"/>
        <v>460.90534979423876</v>
      </c>
      <c r="G7" s="9">
        <f t="shared" si="1"/>
        <v>493.82716049382731</v>
      </c>
      <c r="H7" s="9">
        <f t="shared" si="1"/>
        <v>526.74897119341574</v>
      </c>
    </row>
    <row r="8" spans="1:8" ht="30" x14ac:dyDescent="0.25">
      <c r="A8" s="206" t="s">
        <v>494</v>
      </c>
      <c r="B8" s="207">
        <f>ROUND(B7,0)</f>
        <v>329</v>
      </c>
      <c r="C8" s="207">
        <f t="shared" ref="C8:H8" si="2">ROUND(C7,0)</f>
        <v>362</v>
      </c>
      <c r="D8" s="207">
        <f t="shared" si="2"/>
        <v>395</v>
      </c>
      <c r="E8" s="207">
        <f t="shared" si="2"/>
        <v>428</v>
      </c>
      <c r="F8" s="207">
        <f t="shared" si="2"/>
        <v>461</v>
      </c>
      <c r="G8" s="207">
        <f t="shared" si="2"/>
        <v>494</v>
      </c>
      <c r="H8" s="207">
        <f t="shared" si="2"/>
        <v>527</v>
      </c>
    </row>
    <row r="9" spans="1:8" ht="30" x14ac:dyDescent="0.25">
      <c r="A9" s="206" t="s">
        <v>495</v>
      </c>
      <c r="B9" s="208">
        <f>'Benefit-FPO-Producer'!D13</f>
        <v>129.704415625</v>
      </c>
      <c r="C9" s="208">
        <f>'Benefit-FPO-Producer'!E13</f>
        <v>184.48934343465913</v>
      </c>
      <c r="D9" s="208">
        <f>'Benefit-FPO-Producer'!F13</f>
        <v>196.59496689440113</v>
      </c>
      <c r="E9" s="208">
        <f>'Benefit-FPO-Producer'!G13</f>
        <v>225.53222428082319</v>
      </c>
      <c r="F9" s="208">
        <f>'Benefit-FPO-Producer'!H13</f>
        <v>254.72135338362415</v>
      </c>
      <c r="G9" s="208">
        <f>'Benefit-FPO-Producer'!I13</f>
        <v>285.81827508886857</v>
      </c>
      <c r="H9" s="208">
        <f>'Benefit-FPO-Producer'!J13</f>
        <v>318.68015041134703</v>
      </c>
    </row>
    <row r="10" spans="1:8" ht="30.75" customHeight="1" x14ac:dyDescent="0.25">
      <c r="A10" s="203" t="s">
        <v>481</v>
      </c>
      <c r="B10" s="209">
        <f>B9*B4/100000</f>
        <v>5.1881766249999997</v>
      </c>
      <c r="C10" s="209">
        <f t="shared" ref="C10:H10" si="3">C9*C4/100000</f>
        <v>8.1175311111250039</v>
      </c>
      <c r="D10" s="209">
        <f t="shared" si="3"/>
        <v>9.4365584109312568</v>
      </c>
      <c r="E10" s="209">
        <f t="shared" si="3"/>
        <v>11.727675662602808</v>
      </c>
      <c r="F10" s="209">
        <f t="shared" si="3"/>
        <v>14.264395789482954</v>
      </c>
      <c r="G10" s="209">
        <f t="shared" si="3"/>
        <v>17.149096505332118</v>
      </c>
      <c r="H10" s="209">
        <f t="shared" si="3"/>
        <v>20.395529626326216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10" t="s">
        <v>488</v>
      </c>
      <c r="B12" s="211">
        <f>'Benefit-FPO-Producer'!D12</f>
        <v>194.55662343750001</v>
      </c>
      <c r="C12" s="211">
        <f>'Benefit-FPO-Producer'!E12</f>
        <v>276.73401515198867</v>
      </c>
      <c r="D12" s="211">
        <f>'Benefit-FPO-Producer'!F12</f>
        <v>294.89245034160166</v>
      </c>
      <c r="E12" s="211">
        <f>'Benefit-FPO-Producer'!G12</f>
        <v>338.29833642123475</v>
      </c>
      <c r="F12" s="211">
        <f>'Benefit-FPO-Producer'!H12</f>
        <v>382.08203007543619</v>
      </c>
      <c r="G12" s="211">
        <f>'Benefit-FPO-Producer'!I12</f>
        <v>428.72741263330289</v>
      </c>
      <c r="H12" s="211">
        <f>'Benefit-FPO-Producer'!J12</f>
        <v>478.02022561702046</v>
      </c>
    </row>
    <row r="13" spans="1:8" ht="30" x14ac:dyDescent="0.25">
      <c r="A13" s="212" t="s">
        <v>482</v>
      </c>
      <c r="B13" s="211">
        <f t="shared" ref="B13:H13" si="4">B4*B12/100000</f>
        <v>7.7822649374999999</v>
      </c>
      <c r="C13" s="211">
        <f t="shared" si="4"/>
        <v>12.176296666687504</v>
      </c>
      <c r="D13" s="211">
        <f t="shared" si="4"/>
        <v>14.154837616396881</v>
      </c>
      <c r="E13" s="211">
        <f t="shared" si="4"/>
        <v>17.591513493904209</v>
      </c>
      <c r="F13" s="211">
        <f t="shared" si="4"/>
        <v>21.396593684224431</v>
      </c>
      <c r="G13" s="211">
        <f t="shared" si="4"/>
        <v>25.72364475799818</v>
      </c>
      <c r="H13" s="211">
        <f t="shared" si="4"/>
        <v>30.59329443948932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3"/>
      <c r="B15" s="214"/>
      <c r="C15" s="214"/>
      <c r="D15" s="214"/>
      <c r="E15" s="214"/>
      <c r="F15" s="214"/>
      <c r="G15" s="214"/>
      <c r="H15" s="214"/>
    </row>
    <row r="16" spans="1:8" ht="30" x14ac:dyDescent="0.25">
      <c r="A16" s="213" t="s">
        <v>489</v>
      </c>
      <c r="B16" s="214">
        <f>B13+B10</f>
        <v>12.9704415625</v>
      </c>
      <c r="C16" s="214">
        <f t="shared" ref="C16:H16" si="5">C13+C10</f>
        <v>20.29382777781251</v>
      </c>
      <c r="D16" s="214">
        <f t="shared" si="5"/>
        <v>23.591396027328138</v>
      </c>
      <c r="E16" s="214">
        <f t="shared" si="5"/>
        <v>29.319189156507015</v>
      </c>
      <c r="F16" s="214">
        <f t="shared" si="5"/>
        <v>35.660989473707389</v>
      </c>
      <c r="G16" s="214">
        <f t="shared" si="5"/>
        <v>42.872741263330298</v>
      </c>
      <c r="H16" s="214">
        <f t="shared" si="5"/>
        <v>50.988824065815535</v>
      </c>
    </row>
    <row r="17" spans="1:8" x14ac:dyDescent="0.25">
      <c r="A17" s="215" t="s">
        <v>483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484</v>
      </c>
      <c r="B18" s="45">
        <f>B16*B17</f>
        <v>11.899487672018347</v>
      </c>
      <c r="C18" s="45">
        <f t="shared" ref="C18:H18" si="7">C16*C17</f>
        <v>17.080908827381961</v>
      </c>
      <c r="D18" s="45">
        <f t="shared" si="7"/>
        <v>18.216886283881003</v>
      </c>
      <c r="E18" s="45">
        <f t="shared" si="7"/>
        <v>20.770452766458899</v>
      </c>
      <c r="F18" s="45">
        <f t="shared" si="7"/>
        <v>23.177196325417341</v>
      </c>
      <c r="G18" s="45">
        <f t="shared" si="7"/>
        <v>25.563614829070211</v>
      </c>
      <c r="H18" s="45">
        <f t="shared" si="7"/>
        <v>27.892632868292161</v>
      </c>
    </row>
    <row r="19" spans="1:8" s="3" customFormat="1" ht="30" x14ac:dyDescent="0.25">
      <c r="A19" s="213" t="s">
        <v>485</v>
      </c>
      <c r="B19" s="11">
        <f>SUM(B18:H18)</f>
        <v>144.60117957251992</v>
      </c>
      <c r="C19" s="8"/>
      <c r="D19" s="8"/>
      <c r="E19" s="8"/>
      <c r="F19" s="8"/>
      <c r="G19" s="8"/>
      <c r="H19" s="8"/>
    </row>
    <row r="20" spans="1:8" x14ac:dyDescent="0.25">
      <c r="A20" s="10" t="s">
        <v>486</v>
      </c>
      <c r="B20" s="45">
        <f>'BEP &amp; DSCR'!B20</f>
        <v>233.8440979166667</v>
      </c>
      <c r="C20" s="6"/>
      <c r="D20" s="6"/>
      <c r="E20" s="6"/>
      <c r="F20" s="6"/>
      <c r="G20" s="6"/>
      <c r="H20" s="6"/>
    </row>
    <row r="21" spans="1:8" ht="33.75" customHeight="1" x14ac:dyDescent="0.25">
      <c r="A21" s="203" t="s">
        <v>491</v>
      </c>
      <c r="B21" s="201">
        <f>B19-B20</f>
        <v>-89.242918344146773</v>
      </c>
      <c r="C21" s="6"/>
      <c r="D21" s="6"/>
      <c r="E21" s="6"/>
      <c r="F21" s="6"/>
      <c r="G21" s="6"/>
      <c r="H21" s="6"/>
    </row>
    <row r="22" spans="1:8" x14ac:dyDescent="0.25">
      <c r="A22" s="203" t="s">
        <v>487</v>
      </c>
      <c r="B22" s="217">
        <f>IRR(A24:H24)</f>
        <v>-1.6608648361454703E-2</v>
      </c>
      <c r="C22" s="6"/>
      <c r="D22" s="6"/>
      <c r="E22" s="6"/>
      <c r="F22" s="6"/>
      <c r="G22" s="6"/>
      <c r="H22" s="6"/>
    </row>
    <row r="24" spans="1:8" x14ac:dyDescent="0.25">
      <c r="A24" s="216">
        <f>-B20</f>
        <v>-233.8440979166667</v>
      </c>
      <c r="B24" s="25">
        <f>B16</f>
        <v>12.9704415625</v>
      </c>
      <c r="C24" s="25">
        <f t="shared" ref="C24:H24" si="8">C16</f>
        <v>20.29382777781251</v>
      </c>
      <c r="D24" s="25">
        <f t="shared" si="8"/>
        <v>23.591396027328138</v>
      </c>
      <c r="E24" s="25">
        <f t="shared" si="8"/>
        <v>29.319189156507015</v>
      </c>
      <c r="F24" s="25">
        <f t="shared" si="8"/>
        <v>35.660989473707389</v>
      </c>
      <c r="G24" s="25">
        <f t="shared" si="8"/>
        <v>42.872741263330298</v>
      </c>
      <c r="H24" s="25">
        <f t="shared" si="8"/>
        <v>50.988824065815535</v>
      </c>
    </row>
    <row r="26" spans="1:8" x14ac:dyDescent="0.25">
      <c r="B26" s="8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49" t="s">
        <v>1</v>
      </c>
      <c r="B1" s="249" t="s">
        <v>200</v>
      </c>
      <c r="C1" s="249" t="s">
        <v>213</v>
      </c>
      <c r="D1" s="249" t="s">
        <v>226</v>
      </c>
      <c r="E1" s="249" t="s">
        <v>239</v>
      </c>
      <c r="F1" s="249" t="s">
        <v>252</v>
      </c>
      <c r="G1" s="249" t="s">
        <v>265</v>
      </c>
    </row>
    <row r="2" spans="1:7" x14ac:dyDescent="0.25">
      <c r="A2" s="250" t="s">
        <v>554</v>
      </c>
      <c r="B2" s="251">
        <f>'P&amp;L'!B9</f>
        <v>149.47</v>
      </c>
      <c r="C2" s="251">
        <f>'P&amp;L'!C9</f>
        <v>177.06810000000002</v>
      </c>
      <c r="D2" s="251">
        <f>'P&amp;L'!D9</f>
        <v>204.52370000000002</v>
      </c>
      <c r="E2" s="251">
        <f>'P&amp;L'!E9</f>
        <v>232.8708</v>
      </c>
      <c r="F2" s="251">
        <f>'P&amp;L'!F9</f>
        <v>264.39590000000004</v>
      </c>
      <c r="G2" s="251">
        <f>'P&amp;L'!G9</f>
        <v>298.18140000000005</v>
      </c>
    </row>
    <row r="3" spans="1:7" x14ac:dyDescent="0.25">
      <c r="A3" s="250" t="s">
        <v>560</v>
      </c>
      <c r="B3" s="251">
        <f>'P&amp;L'!B14-'P&amp;L'!B9</f>
        <v>4.4699999999999989</v>
      </c>
      <c r="C3" s="251">
        <f>'P&amp;L'!C14-'P&amp;L'!C9</f>
        <v>1.4099999999999966</v>
      </c>
      <c r="D3" s="251">
        <f>'P&amp;L'!D14-'P&amp;L'!D9</f>
        <v>0.4924000000000035</v>
      </c>
      <c r="E3" s="251">
        <f>'P&amp;L'!E14-'P&amp;L'!E9</f>
        <v>1.1057999999999879</v>
      </c>
      <c r="F3" s="251">
        <f>'P&amp;L'!F14-'P&amp;L'!F9</f>
        <v>0.92019999999996571</v>
      </c>
      <c r="G3" s="251">
        <f>'P&amp;L'!G14-'P&amp;L'!G9</f>
        <v>0.99360000000001492</v>
      </c>
    </row>
    <row r="4" spans="1:7" x14ac:dyDescent="0.25">
      <c r="A4" s="250" t="s">
        <v>555</v>
      </c>
      <c r="B4" s="252">
        <f>'P&amp;L'!B21+'P&amp;L'!B23+'P&amp;L'!B25-'Opex Schedule'!C18</f>
        <v>119.48729999999999</v>
      </c>
      <c r="C4" s="252">
        <f>'P&amp;L'!C21+'P&amp;L'!C23+'P&amp;L'!C25-'Opex Schedule'!D18</f>
        <v>135.77361500000001</v>
      </c>
      <c r="D4" s="252">
        <f>'P&amp;L'!D21+'P&amp;L'!D23+'P&amp;L'!D25-'Opex Schedule'!E18</f>
        <v>153.47189574999999</v>
      </c>
      <c r="E4" s="252">
        <f>'P&amp;L'!E21+'P&amp;L'!E23+'P&amp;L'!E25-'Opex Schedule'!F18</f>
        <v>172.4223805375</v>
      </c>
      <c r="F4" s="252">
        <f>'P&amp;L'!F21+'P&amp;L'!F23+'P&amp;L'!F25-'Opex Schedule'!G18</f>
        <v>193.015199564375</v>
      </c>
      <c r="G4" s="252">
        <f>'P&amp;L'!G21+'P&amp;L'!G23+'P&amp;L'!G25-'Opex Schedule'!H18</f>
        <v>214.95817954259374</v>
      </c>
    </row>
    <row r="5" spans="1:7" x14ac:dyDescent="0.25">
      <c r="A5" s="250" t="s">
        <v>556</v>
      </c>
      <c r="B5" s="252">
        <f>B2-B4</f>
        <v>29.982700000000008</v>
      </c>
      <c r="C5" s="252">
        <f t="shared" ref="C5:G5" si="0">C2-C4</f>
        <v>41.294485000000009</v>
      </c>
      <c r="D5" s="252">
        <f t="shared" si="0"/>
        <v>51.051804250000032</v>
      </c>
      <c r="E5" s="252">
        <f t="shared" si="0"/>
        <v>60.448419462499999</v>
      </c>
      <c r="F5" s="252">
        <f t="shared" si="0"/>
        <v>71.380700435625045</v>
      </c>
      <c r="G5" s="252">
        <f t="shared" si="0"/>
        <v>83.223220457406313</v>
      </c>
    </row>
    <row r="6" spans="1:7" x14ac:dyDescent="0.25">
      <c r="A6" s="250" t="s">
        <v>557</v>
      </c>
      <c r="B6" s="251">
        <f>'P&amp;L'!B29+'P&amp;L'!B27</f>
        <v>25.038699999999999</v>
      </c>
      <c r="C6" s="251">
        <f>'P&amp;L'!C29+'P&amp;L'!C27</f>
        <v>32.819785000000017</v>
      </c>
      <c r="D6" s="251">
        <f>'P&amp;L'!D29+'P&amp;L'!D27</f>
        <v>41.165269250000023</v>
      </c>
      <c r="E6" s="251">
        <f>'P&amp;L'!E29+'P&amp;L'!E27</f>
        <v>50.656337712499976</v>
      </c>
      <c r="F6" s="251">
        <f>'P&amp;L'!F29+'P&amp;L'!F27</f>
        <v>60.858124598125016</v>
      </c>
      <c r="G6" s="251">
        <f>'P&amp;L'!G29+'P&amp;L'!G27</f>
        <v>72.201905828031329</v>
      </c>
    </row>
    <row r="7" spans="1:7" x14ac:dyDescent="0.25">
      <c r="A7" s="250" t="s">
        <v>558</v>
      </c>
      <c r="B7" s="251">
        <f>'P&amp;L'!B34</f>
        <v>12.9704415625</v>
      </c>
      <c r="C7" s="251">
        <f>'P&amp;L'!C34</f>
        <v>20.548469209375018</v>
      </c>
      <c r="D7" s="251">
        <f>'P&amp;L'!D34</f>
        <v>28.763319110468775</v>
      </c>
      <c r="E7" s="251">
        <f>'P&amp;L'!E34</f>
        <v>38.079412562867162</v>
      </c>
      <c r="F7" s="251">
        <f>'P&amp;L'!F34</f>
        <v>48.122597022260564</v>
      </c>
      <c r="G7" s="251">
        <f>'P&amp;L'!G34</f>
        <v>59.279019732748637</v>
      </c>
    </row>
    <row r="8" spans="1:7" x14ac:dyDescent="0.25">
      <c r="A8" s="250" t="s">
        <v>559</v>
      </c>
      <c r="B8" s="251">
        <f>'P&amp;L'!B36</f>
        <v>12.9704415625</v>
      </c>
      <c r="C8" s="251">
        <f>'P&amp;L'!C36</f>
        <v>20.29382777781251</v>
      </c>
      <c r="D8" s="251">
        <f>'P&amp;L'!D36</f>
        <v>23.591396027328141</v>
      </c>
      <c r="E8" s="251">
        <f>'P&amp;L'!E36</f>
        <v>29.319189156507015</v>
      </c>
      <c r="F8" s="251">
        <f>'P&amp;L'!F36</f>
        <v>35.660989473707389</v>
      </c>
      <c r="G8" s="251">
        <f>'P&amp;L'!G36</f>
        <v>42.872741263330298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52" zoomScale="60" zoomScaleNormal="100" workbookViewId="0">
      <selection activeCell="A2" sqref="A2:K52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48" t="s">
        <v>568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x14ac:dyDescent="0.25">
      <c r="A2" s="254" t="s">
        <v>569</v>
      </c>
      <c r="B2" s="254" t="s">
        <v>570</v>
      </c>
      <c r="C2" s="254" t="s">
        <v>571</v>
      </c>
      <c r="D2" s="254" t="s">
        <v>572</v>
      </c>
      <c r="E2" s="254" t="s">
        <v>573</v>
      </c>
      <c r="F2" s="254" t="s">
        <v>574</v>
      </c>
      <c r="G2" s="254" t="s">
        <v>583</v>
      </c>
      <c r="H2" s="254" t="s">
        <v>584</v>
      </c>
      <c r="I2" s="254" t="s">
        <v>585</v>
      </c>
      <c r="J2" s="254" t="s">
        <v>586</v>
      </c>
      <c r="K2" s="254" t="s">
        <v>587</v>
      </c>
    </row>
    <row r="3" spans="1:11" x14ac:dyDescent="0.25">
      <c r="A3" s="255" t="str">
        <f>'P&amp;L'!A5</f>
        <v xml:space="preserve">Revenue from Sale </v>
      </c>
      <c r="B3" s="268">
        <f>+'P&amp;L'!B5*1.1</f>
        <v>120.65900000000002</v>
      </c>
      <c r="C3" s="268">
        <f>+'P&amp;L'!C5*1.1</f>
        <v>143.69355000000002</v>
      </c>
      <c r="D3" s="268">
        <f>+'P&amp;L'!D5*1.1</f>
        <v>165.82951</v>
      </c>
      <c r="E3" s="268">
        <f>+'P&amp;L'!E5*1.1</f>
        <v>188.20428000000001</v>
      </c>
      <c r="F3" s="268">
        <f>+'P&amp;L'!F5*1.1</f>
        <v>213.12093000000004</v>
      </c>
      <c r="G3" s="268">
        <f>+'P&amp;L'!G5*1.1</f>
        <v>239.73774</v>
      </c>
      <c r="H3" s="268">
        <f>+'P&amp;L'!H5*1.1</f>
        <v>268.14447000000001</v>
      </c>
      <c r="I3" s="268">
        <f>+'P&amp;L'!I5*1.1</f>
        <v>299.50227999999998</v>
      </c>
      <c r="J3" s="268">
        <f>+'P&amp;L'!J5*1.1</f>
        <v>333.28514999999999</v>
      </c>
      <c r="K3" s="268">
        <f>+'P&amp;L'!K5*1.1</f>
        <v>368.65278999999998</v>
      </c>
    </row>
    <row r="4" spans="1:11" x14ac:dyDescent="0.25">
      <c r="A4" s="255" t="str">
        <f>'P&amp;L'!A6</f>
        <v>Revenue- Service Charges - Rice Milling</v>
      </c>
      <c r="B4" s="268">
        <f>+'P&amp;L'!B6*1.1</f>
        <v>39.6</v>
      </c>
      <c r="C4" s="268">
        <f>+'P&amp;L'!C6</f>
        <v>41.580000000000005</v>
      </c>
      <c r="D4" s="268">
        <f>+'P&amp;L'!D6</f>
        <v>47.649600000000007</v>
      </c>
      <c r="E4" s="268">
        <f>+'P&amp;L'!E6</f>
        <v>54.194400000000009</v>
      </c>
      <c r="F4" s="268">
        <f>+'P&amp;L'!F6</f>
        <v>61.286400000000008</v>
      </c>
      <c r="G4" s="268">
        <f>+'P&amp;L'!G6</f>
        <v>68.958000000000013</v>
      </c>
      <c r="H4" s="268">
        <f>+'P&amp;L'!H6</f>
        <v>77.241600000000034</v>
      </c>
      <c r="I4" s="268">
        <f>+'P&amp;L'!I6</f>
        <v>86.169600000000017</v>
      </c>
      <c r="J4" s="268">
        <f>+'P&amp;L'!J6</f>
        <v>95.774400000000043</v>
      </c>
      <c r="K4" s="268">
        <f>+'P&amp;L'!K6*1.1</f>
        <v>116.77248000000004</v>
      </c>
    </row>
    <row r="5" spans="1:11" x14ac:dyDescent="0.25">
      <c r="A5" s="255" t="str">
        <f>'P&amp;L'!A8</f>
        <v>Revenue from Weigh Bridge operation</v>
      </c>
      <c r="B5" s="268">
        <f>+'P&amp;L'!B8</f>
        <v>3.7800000000000002</v>
      </c>
      <c r="C5" s="268">
        <f>+'P&amp;L'!C8</f>
        <v>4.8575999999999997</v>
      </c>
      <c r="D5" s="268">
        <f>+'P&amp;L'!D8</f>
        <v>6.12</v>
      </c>
      <c r="E5" s="268">
        <f>+'P&amp;L'!E8</f>
        <v>7.5815999999999999</v>
      </c>
      <c r="F5" s="268">
        <f>+'P&amp;L'!F8</f>
        <v>9.3631999999999991</v>
      </c>
      <c r="G5" s="268">
        <f>+'P&amp;L'!G8</f>
        <v>11.280000000000001</v>
      </c>
      <c r="H5" s="268">
        <f>+'P&amp;L'!H8</f>
        <v>13.440000000000001</v>
      </c>
      <c r="I5" s="268">
        <f>+'P&amp;L'!I8</f>
        <v>15.857600000000001</v>
      </c>
      <c r="J5" s="268">
        <f>+'P&amp;L'!J8</f>
        <v>18.712800000000001</v>
      </c>
      <c r="K5" s="268">
        <f>+'P&amp;L'!K8</f>
        <v>21.705599999999997</v>
      </c>
    </row>
    <row r="6" spans="1:11" x14ac:dyDescent="0.25">
      <c r="A6" s="255" t="s">
        <v>589</v>
      </c>
      <c r="B6" s="256">
        <f>+'P&amp;L'!B12-'P&amp;L'!B11</f>
        <v>4.47</v>
      </c>
      <c r="C6" s="256">
        <f>+'P&amp;L'!C12-'P&amp;L'!C11</f>
        <v>1.4100000000000001</v>
      </c>
      <c r="D6" s="256">
        <f>+'P&amp;L'!D12-'P&amp;L'!D11</f>
        <v>0.49239999999999995</v>
      </c>
      <c r="E6" s="256">
        <f>+'P&amp;L'!E12-'P&amp;L'!E11</f>
        <v>1.1058000000000003</v>
      </c>
      <c r="F6" s="256">
        <f>+'P&amp;L'!F12-'P&amp;L'!F11</f>
        <v>0.92020000000000035</v>
      </c>
      <c r="G6" s="256">
        <f>+'P&amp;L'!G12-'P&amp;L'!G11</f>
        <v>0.9936000000000007</v>
      </c>
      <c r="H6" s="256">
        <f>+'P&amp;L'!H12-'P&amp;L'!H11</f>
        <v>1.3801999999999985</v>
      </c>
      <c r="I6" s="256">
        <f>+'P&amp;L'!I12-'P&amp;L'!I11</f>
        <v>1.1709999999999994</v>
      </c>
      <c r="J6" s="256">
        <f>+'P&amp;L'!J12-'P&amp;L'!J11</f>
        <v>1.2628000000000004</v>
      </c>
      <c r="K6" s="256">
        <f>+'P&amp;L'!K12-'P&amp;L'!K11</f>
        <v>1.9937999999999985</v>
      </c>
    </row>
    <row r="7" spans="1:11" x14ac:dyDescent="0.25">
      <c r="A7" s="254" t="s">
        <v>575</v>
      </c>
      <c r="B7" s="257">
        <f>SUM(B3:B6)</f>
        <v>168.50900000000001</v>
      </c>
      <c r="C7" s="257">
        <f>SUM(C3:C6)</f>
        <v>191.54115000000002</v>
      </c>
      <c r="D7" s="257">
        <f>SUM(D3:D6)</f>
        <v>220.09151</v>
      </c>
      <c r="E7" s="257">
        <f>SUM(E3:E6)</f>
        <v>251.08608000000001</v>
      </c>
      <c r="F7" s="257">
        <f>SUM(F3:F6)</f>
        <v>284.69073000000009</v>
      </c>
      <c r="G7" s="257">
        <f t="shared" ref="G7:K7" si="0">SUM(G3:G6)</f>
        <v>320.96933999999999</v>
      </c>
      <c r="H7" s="257">
        <f t="shared" si="0"/>
        <v>360.20627000000002</v>
      </c>
      <c r="I7" s="257">
        <f t="shared" si="0"/>
        <v>402.70047999999997</v>
      </c>
      <c r="J7" s="257">
        <f t="shared" si="0"/>
        <v>449.0351500000001</v>
      </c>
      <c r="K7" s="257">
        <f t="shared" si="0"/>
        <v>509.12467000000004</v>
      </c>
    </row>
    <row r="8" spans="1:11" x14ac:dyDescent="0.25">
      <c r="A8" s="254" t="s">
        <v>576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</row>
    <row r="9" spans="1:11" x14ac:dyDescent="0.25">
      <c r="A9" s="262" t="s">
        <v>588</v>
      </c>
      <c r="B9" s="256">
        <f>+'P&amp;L'!B21*1.1</f>
        <v>96.800000000000011</v>
      </c>
      <c r="C9" s="256">
        <f>+'P&amp;L'!C21*1.1</f>
        <v>111.59829999999999</v>
      </c>
      <c r="D9" s="256">
        <f>+'P&amp;L'!D21*1.1</f>
        <v>127.86312000000001</v>
      </c>
      <c r="E9" s="256">
        <f>+'P&amp;L'!E21*1.1</f>
        <v>145.4222</v>
      </c>
      <c r="F9" s="256">
        <f>+'P&amp;L'!F21*1.1</f>
        <v>164.41105999999999</v>
      </c>
      <c r="G9" s="256">
        <f>+'P&amp;L'!G21*1.1</f>
        <v>184.98898</v>
      </c>
      <c r="H9" s="256">
        <f>+'P&amp;L'!H21*1.1</f>
        <v>207.15420000000003</v>
      </c>
      <c r="I9" s="256">
        <f>+'P&amp;L'!I21*1.1</f>
        <v>231.06941</v>
      </c>
      <c r="J9" s="256">
        <f>+'P&amp;L'!J21*1.1</f>
        <v>256.92260000000005</v>
      </c>
      <c r="K9" s="256">
        <f>+'P&amp;L'!K21*1.1</f>
        <v>284.78890000000001</v>
      </c>
    </row>
    <row r="10" spans="1:11" x14ac:dyDescent="0.25">
      <c r="A10" s="255" t="s">
        <v>577</v>
      </c>
      <c r="B10" s="256">
        <f>+'P&amp;L'!B23</f>
        <v>24.1203</v>
      </c>
      <c r="C10" s="256">
        <f>+'P&amp;L'!C23</f>
        <v>25.326315000000001</v>
      </c>
      <c r="D10" s="256">
        <f>+'P&amp;L'!D23</f>
        <v>26.592630750000005</v>
      </c>
      <c r="E10" s="256">
        <f>+'P&amp;L'!E23</f>
        <v>27.922262287500011</v>
      </c>
      <c r="F10" s="256">
        <f>+'P&amp;L'!F23</f>
        <v>29.318375401875002</v>
      </c>
      <c r="G10" s="256">
        <f>+'P&amp;L'!G23</f>
        <v>30.78429417196876</v>
      </c>
      <c r="H10" s="256">
        <f>+'P&amp;L'!H23</f>
        <v>32.323508880567196</v>
      </c>
      <c r="I10" s="256">
        <f>+'P&amp;L'!I23</f>
        <v>33.939684324595561</v>
      </c>
      <c r="J10" s="256">
        <f>+'P&amp;L'!J23</f>
        <v>35.636668540825333</v>
      </c>
      <c r="K10" s="256">
        <f>+'P&amp;L'!K23</f>
        <v>37.418501967866611</v>
      </c>
    </row>
    <row r="11" spans="1:11" x14ac:dyDescent="0.25">
      <c r="A11" s="255" t="s">
        <v>338</v>
      </c>
      <c r="B11" s="256">
        <f>+'P&amp;L'!B25</f>
        <v>16.780999999999999</v>
      </c>
      <c r="C11" s="256">
        <f>+'P&amp;L'!C25</f>
        <v>18.879000000000005</v>
      </c>
      <c r="D11" s="256">
        <f>+'P&amp;L'!D25</f>
        <v>21.018999999999998</v>
      </c>
      <c r="E11" s="256">
        <f>+'P&amp;L'!E25</f>
        <v>23.196000000000002</v>
      </c>
      <c r="F11" s="256">
        <f>+'P&amp;L'!F25</f>
        <v>25.675000000000001</v>
      </c>
      <c r="G11" s="256">
        <f>+'P&amp;L'!G25</f>
        <v>28.017000000000007</v>
      </c>
      <c r="H11" s="256">
        <f>+'P&amp;L'!H25</f>
        <v>30.421000000000006</v>
      </c>
      <c r="I11" s="256">
        <f>+'P&amp;L'!I25</f>
        <v>32.273000000000003</v>
      </c>
      <c r="J11" s="256">
        <f>+'P&amp;L'!J25</f>
        <v>34.332000000000008</v>
      </c>
      <c r="K11" s="256">
        <f>+'P&amp;L'!K25</f>
        <v>36.163999999999994</v>
      </c>
    </row>
    <row r="12" spans="1:11" x14ac:dyDescent="0.25">
      <c r="A12" s="254" t="s">
        <v>578</v>
      </c>
      <c r="B12" s="257">
        <f>SUM(B9:B11)</f>
        <v>137.7013</v>
      </c>
      <c r="C12" s="257">
        <f t="shared" ref="C12:K12" si="1">SUM(C9:C11)</f>
        <v>155.80361499999998</v>
      </c>
      <c r="D12" s="257">
        <f t="shared" si="1"/>
        <v>175.47475075000003</v>
      </c>
      <c r="E12" s="257">
        <f t="shared" si="1"/>
        <v>196.54046228750002</v>
      </c>
      <c r="F12" s="257">
        <f t="shared" si="1"/>
        <v>219.40443540187499</v>
      </c>
      <c r="G12" s="257">
        <f t="shared" si="1"/>
        <v>243.79027417196875</v>
      </c>
      <c r="H12" s="257">
        <f t="shared" si="1"/>
        <v>269.89870888056726</v>
      </c>
      <c r="I12" s="257">
        <f t="shared" si="1"/>
        <v>297.28209432459562</v>
      </c>
      <c r="J12" s="257">
        <f t="shared" si="1"/>
        <v>326.89126854082537</v>
      </c>
      <c r="K12" s="257">
        <f t="shared" si="1"/>
        <v>358.37140196786663</v>
      </c>
    </row>
    <row r="13" spans="1:11" x14ac:dyDescent="0.25">
      <c r="A13" s="258" t="s">
        <v>579</v>
      </c>
      <c r="B13" s="259">
        <f>B7-B12</f>
        <v>30.807700000000011</v>
      </c>
      <c r="C13" s="259">
        <f>C7-C12</f>
        <v>35.737535000000037</v>
      </c>
      <c r="D13" s="259">
        <f>D7-D12</f>
        <v>44.616759249999973</v>
      </c>
      <c r="E13" s="259">
        <f>E7-E12</f>
        <v>54.54561771249999</v>
      </c>
      <c r="F13" s="259">
        <f>F7-F12</f>
        <v>65.286294598125096</v>
      </c>
      <c r="G13" s="259">
        <f t="shared" ref="G13:K13" si="2">G7-G12</f>
        <v>77.179065828031241</v>
      </c>
      <c r="H13" s="259">
        <f t="shared" si="2"/>
        <v>90.307561119432762</v>
      </c>
      <c r="I13" s="259">
        <f t="shared" si="2"/>
        <v>105.41838567540435</v>
      </c>
      <c r="J13" s="259">
        <f t="shared" si="2"/>
        <v>122.14388145917474</v>
      </c>
      <c r="K13" s="259">
        <f t="shared" si="2"/>
        <v>150.75326803213341</v>
      </c>
    </row>
    <row r="14" spans="1:11" x14ac:dyDescent="0.25">
      <c r="A14" s="260"/>
      <c r="B14" s="261"/>
      <c r="C14" s="261"/>
      <c r="D14" s="261"/>
      <c r="E14" s="261"/>
      <c r="F14" s="261"/>
      <c r="G14" s="261"/>
      <c r="H14" s="261"/>
      <c r="I14" s="261"/>
      <c r="J14" s="261"/>
      <c r="K14" s="261"/>
    </row>
    <row r="15" spans="1:11" x14ac:dyDescent="0.25">
      <c r="A15" s="254" t="s">
        <v>580</v>
      </c>
      <c r="B15" s="254" t="s">
        <v>570</v>
      </c>
      <c r="C15" s="254" t="s">
        <v>571</v>
      </c>
      <c r="D15" s="254" t="s">
        <v>572</v>
      </c>
      <c r="E15" s="254" t="s">
        <v>573</v>
      </c>
      <c r="F15" s="254" t="s">
        <v>574</v>
      </c>
      <c r="G15" s="254" t="s">
        <v>583</v>
      </c>
      <c r="H15" s="254" t="s">
        <v>584</v>
      </c>
      <c r="I15" s="254" t="s">
        <v>585</v>
      </c>
      <c r="J15" s="254" t="s">
        <v>586</v>
      </c>
      <c r="K15" s="254" t="s">
        <v>587</v>
      </c>
    </row>
    <row r="16" spans="1:11" x14ac:dyDescent="0.25">
      <c r="A16" s="255" t="str">
        <f>+A3</f>
        <v xml:space="preserve">Revenue from Sale </v>
      </c>
      <c r="B16" s="256">
        <f>+'P&amp;L'!B5</f>
        <v>109.69000000000001</v>
      </c>
      <c r="C16" s="256">
        <f>+'P&amp;L'!C5</f>
        <v>130.63050000000001</v>
      </c>
      <c r="D16" s="256">
        <f>+'P&amp;L'!D5</f>
        <v>150.75409999999999</v>
      </c>
      <c r="E16" s="256">
        <f>+'P&amp;L'!E5</f>
        <v>171.09479999999999</v>
      </c>
      <c r="F16" s="256">
        <f>+'P&amp;L'!F5</f>
        <v>193.74630000000002</v>
      </c>
      <c r="G16" s="256">
        <f>+'P&amp;L'!G5</f>
        <v>217.9434</v>
      </c>
      <c r="H16" s="256">
        <f>+'P&amp;L'!H5</f>
        <v>243.76769999999999</v>
      </c>
      <c r="I16" s="256">
        <f>+'P&amp;L'!I5</f>
        <v>272.27479999999997</v>
      </c>
      <c r="J16" s="256">
        <f>+'P&amp;L'!J5</f>
        <v>302.98649999999998</v>
      </c>
      <c r="K16" s="256">
        <f>+'P&amp;L'!K5</f>
        <v>335.13889999999998</v>
      </c>
    </row>
    <row r="17" spans="1:11" x14ac:dyDescent="0.25">
      <c r="A17" s="255" t="str">
        <f>+A4</f>
        <v>Revenue- Service Charges - Rice Milling</v>
      </c>
      <c r="B17" s="256">
        <f>+'P&amp;L'!B6</f>
        <v>36</v>
      </c>
      <c r="C17" s="256">
        <f>+'P&amp;L'!C6</f>
        <v>41.580000000000005</v>
      </c>
      <c r="D17" s="256">
        <f>+'P&amp;L'!D6</f>
        <v>47.649600000000007</v>
      </c>
      <c r="E17" s="256">
        <f>+'P&amp;L'!E6</f>
        <v>54.194400000000009</v>
      </c>
      <c r="F17" s="256">
        <f>+'P&amp;L'!F6</f>
        <v>61.286400000000008</v>
      </c>
      <c r="G17" s="256">
        <f>+'P&amp;L'!G6</f>
        <v>68.958000000000013</v>
      </c>
      <c r="H17" s="256">
        <f>+'P&amp;L'!H6</f>
        <v>77.241600000000034</v>
      </c>
      <c r="I17" s="256">
        <f>+'P&amp;L'!I6</f>
        <v>86.169600000000017</v>
      </c>
      <c r="J17" s="256">
        <f>+'P&amp;L'!J6</f>
        <v>95.774400000000043</v>
      </c>
      <c r="K17" s="256">
        <f>+'P&amp;L'!K6</f>
        <v>106.15680000000003</v>
      </c>
    </row>
    <row r="18" spans="1:11" x14ac:dyDescent="0.25">
      <c r="A18" s="255" t="str">
        <f>+A5</f>
        <v>Revenue from Weigh Bridge operation</v>
      </c>
      <c r="B18" s="256">
        <f>+'P&amp;L'!B8</f>
        <v>3.7800000000000002</v>
      </c>
      <c r="C18" s="256">
        <f>+'P&amp;L'!C8</f>
        <v>4.8575999999999997</v>
      </c>
      <c r="D18" s="256">
        <f>+'P&amp;L'!D8</f>
        <v>6.12</v>
      </c>
      <c r="E18" s="256">
        <f>+'P&amp;L'!E8</f>
        <v>7.5815999999999999</v>
      </c>
      <c r="F18" s="256">
        <f>+'P&amp;L'!F8</f>
        <v>9.3631999999999991</v>
      </c>
      <c r="G18" s="256">
        <f>+'P&amp;L'!G8</f>
        <v>11.280000000000001</v>
      </c>
      <c r="H18" s="256">
        <f>+'P&amp;L'!H8</f>
        <v>13.440000000000001</v>
      </c>
      <c r="I18" s="256">
        <f>+'P&amp;L'!I8</f>
        <v>15.857600000000001</v>
      </c>
      <c r="J18" s="256">
        <f>+'P&amp;L'!J8</f>
        <v>18.712800000000001</v>
      </c>
      <c r="K18" s="256">
        <f>+'P&amp;L'!K8</f>
        <v>21.705599999999997</v>
      </c>
    </row>
    <row r="19" spans="1:11" x14ac:dyDescent="0.25">
      <c r="A19" s="255" t="str">
        <f>+A6</f>
        <v>Change in Closing Stock of FG</v>
      </c>
      <c r="B19" s="256">
        <f>+'P&amp;L'!B12-'P&amp;L'!B11</f>
        <v>4.47</v>
      </c>
      <c r="C19" s="256">
        <f>+'P&amp;L'!C12-'P&amp;L'!C11</f>
        <v>1.4100000000000001</v>
      </c>
      <c r="D19" s="256">
        <f>+'P&amp;L'!D12-'P&amp;L'!D11</f>
        <v>0.49239999999999995</v>
      </c>
      <c r="E19" s="256">
        <f>+'P&amp;L'!E12-'P&amp;L'!E11</f>
        <v>1.1058000000000003</v>
      </c>
      <c r="F19" s="256">
        <f>+'P&amp;L'!F12-'P&amp;L'!F11</f>
        <v>0.92020000000000035</v>
      </c>
      <c r="G19" s="256">
        <f>+'P&amp;L'!G12-'P&amp;L'!G11</f>
        <v>0.9936000000000007</v>
      </c>
      <c r="H19" s="256">
        <f>+'P&amp;L'!H12-'P&amp;L'!H11</f>
        <v>1.3801999999999985</v>
      </c>
      <c r="I19" s="256">
        <f>+'P&amp;L'!I12-'P&amp;L'!I11</f>
        <v>1.1709999999999994</v>
      </c>
      <c r="J19" s="256">
        <f>+'P&amp;L'!J12-'P&amp;L'!J11</f>
        <v>1.2628000000000004</v>
      </c>
      <c r="K19" s="256">
        <f>+'P&amp;L'!K12-'P&amp;L'!K11</f>
        <v>1.9937999999999985</v>
      </c>
    </row>
    <row r="20" spans="1:11" x14ac:dyDescent="0.25">
      <c r="A20" s="254" t="s">
        <v>575</v>
      </c>
      <c r="B20" s="257">
        <f>SUM(B16:B19)</f>
        <v>153.94</v>
      </c>
      <c r="C20" s="257">
        <f>SUM(C16:C19)</f>
        <v>178.47810000000001</v>
      </c>
      <c r="D20" s="257">
        <f>SUM(D16:D19)</f>
        <v>205.01610000000002</v>
      </c>
      <c r="E20" s="257">
        <f>SUM(E16:E19)</f>
        <v>233.97659999999999</v>
      </c>
      <c r="F20" s="257">
        <f>SUM(F16:F19)</f>
        <v>265.31610000000006</v>
      </c>
      <c r="G20" s="257">
        <f t="shared" ref="G20:K20" si="3">SUM(G16:G19)</f>
        <v>299.17500000000007</v>
      </c>
      <c r="H20" s="257">
        <f t="shared" si="3"/>
        <v>335.82950000000005</v>
      </c>
      <c r="I20" s="257">
        <f t="shared" si="3"/>
        <v>375.47299999999996</v>
      </c>
      <c r="J20" s="257">
        <f t="shared" si="3"/>
        <v>418.73650000000004</v>
      </c>
      <c r="K20" s="257">
        <f t="shared" si="3"/>
        <v>464.99510000000004</v>
      </c>
    </row>
    <row r="21" spans="1:11" x14ac:dyDescent="0.25">
      <c r="A21" s="254" t="s">
        <v>576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spans="1:11" x14ac:dyDescent="0.25">
      <c r="A22" s="262" t="s">
        <v>588</v>
      </c>
      <c r="B22" s="256">
        <f>+'P&amp;L'!B21*1.1</f>
        <v>96.800000000000011</v>
      </c>
      <c r="C22" s="256">
        <f>+'P&amp;L'!C21*1.1</f>
        <v>111.59829999999999</v>
      </c>
      <c r="D22" s="256">
        <f>+'P&amp;L'!D21*1.1</f>
        <v>127.86312000000001</v>
      </c>
      <c r="E22" s="256">
        <f>+'P&amp;L'!E21*1.1</f>
        <v>145.4222</v>
      </c>
      <c r="F22" s="256">
        <f>+'P&amp;L'!F21*1.1</f>
        <v>164.41105999999999</v>
      </c>
      <c r="G22" s="256">
        <f>+'P&amp;L'!G21*1.1</f>
        <v>184.98898</v>
      </c>
      <c r="H22" s="256">
        <f>+'P&amp;L'!H21*1.1</f>
        <v>207.15420000000003</v>
      </c>
      <c r="I22" s="256">
        <f>+'P&amp;L'!I21*1.1</f>
        <v>231.06941</v>
      </c>
      <c r="J22" s="256">
        <f>+'P&amp;L'!J21*1.1</f>
        <v>256.92260000000005</v>
      </c>
      <c r="K22" s="256">
        <f>+'P&amp;L'!K21*1.1</f>
        <v>284.78890000000001</v>
      </c>
    </row>
    <row r="23" spans="1:11" x14ac:dyDescent="0.25">
      <c r="A23" s="255" t="s">
        <v>577</v>
      </c>
      <c r="B23" s="256">
        <f>+'P&amp;L'!B23*1.1</f>
        <v>26.532330000000002</v>
      </c>
      <c r="C23" s="256">
        <f>+'P&amp;L'!C23*1.1</f>
        <v>27.858946500000002</v>
      </c>
      <c r="D23" s="256">
        <f>+'P&amp;L'!D23*1.1</f>
        <v>29.251893825000007</v>
      </c>
      <c r="E23" s="256">
        <f>+'P&amp;L'!E23*1.1</f>
        <v>30.714488516250015</v>
      </c>
      <c r="F23" s="256">
        <f>+'P&amp;L'!F23*1.1</f>
        <v>32.250212942062504</v>
      </c>
      <c r="G23" s="256">
        <f>+'P&amp;L'!G23*1.1</f>
        <v>33.86272358916564</v>
      </c>
      <c r="H23" s="256">
        <f>+'P&amp;L'!H23*1.1</f>
        <v>35.555859768623918</v>
      </c>
      <c r="I23" s="256">
        <f>+'P&amp;L'!I23*1.1</f>
        <v>37.33365275705512</v>
      </c>
      <c r="J23" s="256">
        <f>+'P&amp;L'!J23*1.1</f>
        <v>39.200335394907867</v>
      </c>
      <c r="K23" s="256">
        <f>+'P&amp;L'!K23*1.1</f>
        <v>41.160352164653276</v>
      </c>
    </row>
    <row r="24" spans="1:11" x14ac:dyDescent="0.25">
      <c r="A24" s="255" t="s">
        <v>338</v>
      </c>
      <c r="B24" s="256">
        <f>+'P&amp;L'!B25*1.1</f>
        <v>18.459099999999999</v>
      </c>
      <c r="C24" s="256">
        <f>+'P&amp;L'!C25*1.1</f>
        <v>20.766900000000007</v>
      </c>
      <c r="D24" s="256">
        <f>+'P&amp;L'!D25*1.1</f>
        <v>23.120899999999999</v>
      </c>
      <c r="E24" s="256">
        <f>+'P&amp;L'!E25*1.1</f>
        <v>25.515600000000003</v>
      </c>
      <c r="F24" s="256">
        <f>+'P&amp;L'!F25*1.1</f>
        <v>28.242500000000003</v>
      </c>
      <c r="G24" s="256">
        <f>+'P&amp;L'!G25*1.1</f>
        <v>30.81870000000001</v>
      </c>
      <c r="H24" s="256">
        <f>+'P&amp;L'!H25*1.1</f>
        <v>33.463100000000011</v>
      </c>
      <c r="I24" s="256">
        <f>+'P&amp;L'!I25*1.1</f>
        <v>35.50030000000001</v>
      </c>
      <c r="J24" s="256">
        <f>+'P&amp;L'!J25*1.1</f>
        <v>37.765200000000014</v>
      </c>
      <c r="K24" s="256">
        <f>+'P&amp;L'!K25*1.1</f>
        <v>39.7804</v>
      </c>
    </row>
    <row r="25" spans="1:11" x14ac:dyDescent="0.25">
      <c r="A25" s="254" t="s">
        <v>578</v>
      </c>
      <c r="B25" s="257">
        <f>SUM(B22:B24)</f>
        <v>141.79143000000002</v>
      </c>
      <c r="C25" s="257">
        <f t="shared" ref="C25:K25" si="4">SUM(C22:C24)</f>
        <v>160.22414650000002</v>
      </c>
      <c r="D25" s="257">
        <f t="shared" si="4"/>
        <v>180.23591382500001</v>
      </c>
      <c r="E25" s="257">
        <f t="shared" si="4"/>
        <v>201.65228851625002</v>
      </c>
      <c r="F25" s="257">
        <f t="shared" si="4"/>
        <v>224.90377294206252</v>
      </c>
      <c r="G25" s="257">
        <f t="shared" si="4"/>
        <v>249.67040358916566</v>
      </c>
      <c r="H25" s="257">
        <f t="shared" si="4"/>
        <v>276.17315976862398</v>
      </c>
      <c r="I25" s="257">
        <f t="shared" si="4"/>
        <v>303.90336275705511</v>
      </c>
      <c r="J25" s="257">
        <f t="shared" si="4"/>
        <v>333.88813539490792</v>
      </c>
      <c r="K25" s="257">
        <f t="shared" si="4"/>
        <v>365.72965216465326</v>
      </c>
    </row>
    <row r="26" spans="1:11" x14ac:dyDescent="0.25">
      <c r="A26" s="258" t="s">
        <v>579</v>
      </c>
      <c r="B26" s="259">
        <f>B20-B25</f>
        <v>12.148569999999978</v>
      </c>
      <c r="C26" s="259">
        <f>C20-C25</f>
        <v>18.253953499999994</v>
      </c>
      <c r="D26" s="259">
        <f>D20-D25</f>
        <v>24.780186175000011</v>
      </c>
      <c r="E26" s="259">
        <f>E20-E25</f>
        <v>32.324311483749966</v>
      </c>
      <c r="F26" s="259">
        <f>F20-F25</f>
        <v>40.412327057937546</v>
      </c>
      <c r="G26" s="259">
        <f t="shared" ref="G26:K26" si="5">G20-G25</f>
        <v>49.504596410834409</v>
      </c>
      <c r="H26" s="259">
        <f t="shared" si="5"/>
        <v>59.656340231376078</v>
      </c>
      <c r="I26" s="259">
        <f t="shared" si="5"/>
        <v>71.56963724294485</v>
      </c>
      <c r="J26" s="259">
        <f t="shared" si="5"/>
        <v>84.848364605092115</v>
      </c>
      <c r="K26" s="259">
        <f t="shared" si="5"/>
        <v>99.265447835346777</v>
      </c>
    </row>
    <row r="27" spans="1:11" x14ac:dyDescent="0.25">
      <c r="A27" s="260"/>
      <c r="B27" s="261"/>
      <c r="C27" s="261"/>
      <c r="D27" s="261"/>
      <c r="E27" s="261"/>
      <c r="F27" s="261"/>
      <c r="G27" s="261"/>
      <c r="H27" s="261"/>
      <c r="I27" s="261"/>
      <c r="J27" s="261"/>
      <c r="K27" s="261"/>
    </row>
    <row r="28" spans="1:11" x14ac:dyDescent="0.25">
      <c r="A28" s="254" t="s">
        <v>581</v>
      </c>
      <c r="B28" s="254" t="s">
        <v>570</v>
      </c>
      <c r="C28" s="254" t="s">
        <v>571</v>
      </c>
      <c r="D28" s="254" t="s">
        <v>572</v>
      </c>
      <c r="E28" s="254" t="s">
        <v>573</v>
      </c>
      <c r="F28" s="254" t="s">
        <v>574</v>
      </c>
      <c r="G28" s="254" t="s">
        <v>583</v>
      </c>
      <c r="H28" s="254" t="s">
        <v>584</v>
      </c>
      <c r="I28" s="254" t="s">
        <v>585</v>
      </c>
      <c r="J28" s="254" t="s">
        <v>586</v>
      </c>
      <c r="K28" s="254" t="s">
        <v>587</v>
      </c>
    </row>
    <row r="29" spans="1:11" x14ac:dyDescent="0.25">
      <c r="A29" s="255" t="str">
        <f>+A16</f>
        <v xml:space="preserve">Revenue from Sale </v>
      </c>
      <c r="B29" s="256">
        <f>+'P&amp;L'!B5*0.9</f>
        <v>98.721000000000018</v>
      </c>
      <c r="C29" s="256">
        <f>+'P&amp;L'!C5*0.9</f>
        <v>117.56745000000001</v>
      </c>
      <c r="D29" s="256">
        <f>+'P&amp;L'!D5*0.9</f>
        <v>135.67868999999999</v>
      </c>
      <c r="E29" s="256">
        <f>+'P&amp;L'!E5*0.9</f>
        <v>153.98532</v>
      </c>
      <c r="F29" s="256">
        <f>+'P&amp;L'!F5*0.9</f>
        <v>174.37167000000002</v>
      </c>
      <c r="G29" s="256">
        <f>+'P&amp;L'!G5*0.9</f>
        <v>196.14905999999999</v>
      </c>
      <c r="H29" s="256">
        <f>+'P&amp;L'!H5*0.9</f>
        <v>219.39093</v>
      </c>
      <c r="I29" s="256">
        <f>+'P&amp;L'!I5*0.9</f>
        <v>245.04731999999998</v>
      </c>
      <c r="J29" s="256">
        <f>+'P&amp;L'!J5*0.9</f>
        <v>272.68784999999997</v>
      </c>
      <c r="K29" s="256">
        <f>+'P&amp;L'!K5*0.9</f>
        <v>301.62500999999997</v>
      </c>
    </row>
    <row r="30" spans="1:11" x14ac:dyDescent="0.25">
      <c r="A30" s="255" t="str">
        <f>+A17</f>
        <v>Revenue- Service Charges - Rice Milling</v>
      </c>
      <c r="B30" s="256">
        <f>+'P&amp;L'!B6*0.9</f>
        <v>32.4</v>
      </c>
      <c r="C30" s="256">
        <f>+'P&amp;L'!C6*0.9</f>
        <v>37.422000000000004</v>
      </c>
      <c r="D30" s="256">
        <f>+'P&amp;L'!D6*0.9</f>
        <v>42.884640000000005</v>
      </c>
      <c r="E30" s="256">
        <f>+'P&amp;L'!E6*0.9</f>
        <v>48.774960000000007</v>
      </c>
      <c r="F30" s="256">
        <f>+'P&amp;L'!F6*0.9</f>
        <v>55.15776000000001</v>
      </c>
      <c r="G30" s="256">
        <f>+'P&amp;L'!G6*0.9</f>
        <v>62.062200000000011</v>
      </c>
      <c r="H30" s="256">
        <f>+'P&amp;L'!H6*0.9</f>
        <v>69.517440000000036</v>
      </c>
      <c r="I30" s="256">
        <f>+'P&amp;L'!I6*0.9</f>
        <v>77.552640000000011</v>
      </c>
      <c r="J30" s="256">
        <f>+'P&amp;L'!J6*0.9</f>
        <v>86.196960000000047</v>
      </c>
      <c r="K30" s="256">
        <f>+'P&amp;L'!K6*0.9</f>
        <v>95.541120000000035</v>
      </c>
    </row>
    <row r="31" spans="1:11" x14ac:dyDescent="0.25">
      <c r="A31" s="255" t="str">
        <f>+A18</f>
        <v>Revenue from Weigh Bridge operation</v>
      </c>
      <c r="B31" s="256">
        <f>+'P&amp;L'!B8</f>
        <v>3.7800000000000002</v>
      </c>
      <c r="C31" s="256">
        <f>+'P&amp;L'!C8</f>
        <v>4.8575999999999997</v>
      </c>
      <c r="D31" s="256">
        <f>+'P&amp;L'!D8</f>
        <v>6.12</v>
      </c>
      <c r="E31" s="256">
        <f>+'P&amp;L'!E8</f>
        <v>7.5815999999999999</v>
      </c>
      <c r="F31" s="256">
        <f>+'P&amp;L'!F8</f>
        <v>9.3631999999999991</v>
      </c>
      <c r="G31" s="256">
        <f>+'P&amp;L'!G8</f>
        <v>11.280000000000001</v>
      </c>
      <c r="H31" s="256">
        <f>+'P&amp;L'!H8</f>
        <v>13.440000000000001</v>
      </c>
      <c r="I31" s="256">
        <f>+'P&amp;L'!I8</f>
        <v>15.857600000000001</v>
      </c>
      <c r="J31" s="256">
        <f>+'P&amp;L'!J8</f>
        <v>18.712800000000001</v>
      </c>
      <c r="K31" s="256">
        <f>+'P&amp;L'!K8</f>
        <v>21.705599999999997</v>
      </c>
    </row>
    <row r="32" spans="1:11" x14ac:dyDescent="0.25">
      <c r="A32" s="255" t="str">
        <f>+A19</f>
        <v>Change in Closing Stock of FG</v>
      </c>
      <c r="B32" s="256">
        <f>+'P&amp;L'!B12-'P&amp;L'!B11</f>
        <v>4.47</v>
      </c>
      <c r="C32" s="256">
        <f>+'P&amp;L'!C12-'P&amp;L'!C11</f>
        <v>1.4100000000000001</v>
      </c>
      <c r="D32" s="256">
        <f>+'P&amp;L'!D12-'P&amp;L'!D11</f>
        <v>0.49239999999999995</v>
      </c>
      <c r="E32" s="256">
        <f>+'P&amp;L'!E12-'P&amp;L'!E11</f>
        <v>1.1058000000000003</v>
      </c>
      <c r="F32" s="256">
        <f>+'P&amp;L'!F12-'P&amp;L'!F11</f>
        <v>0.92020000000000035</v>
      </c>
      <c r="G32" s="256">
        <f>+'P&amp;L'!G12-'P&amp;L'!G11</f>
        <v>0.9936000000000007</v>
      </c>
      <c r="H32" s="256">
        <f>+'P&amp;L'!H12-'P&amp;L'!H11</f>
        <v>1.3801999999999985</v>
      </c>
      <c r="I32" s="256">
        <f>+'P&amp;L'!I12-'P&amp;L'!I11</f>
        <v>1.1709999999999994</v>
      </c>
      <c r="J32" s="256">
        <f>+'P&amp;L'!J12-'P&amp;L'!J11</f>
        <v>1.2628000000000004</v>
      </c>
      <c r="K32" s="256">
        <f>+'P&amp;L'!K12-'P&amp;L'!K11</f>
        <v>1.9937999999999985</v>
      </c>
    </row>
    <row r="33" spans="1:11" x14ac:dyDescent="0.25">
      <c r="A33" s="254" t="s">
        <v>575</v>
      </c>
      <c r="B33" s="257">
        <f>SUM(B29:B32)</f>
        <v>139.37100000000001</v>
      </c>
      <c r="C33" s="257">
        <f>SUM(C29:C32)</f>
        <v>161.25704999999999</v>
      </c>
      <c r="D33" s="257">
        <f>SUM(D29:D32)</f>
        <v>185.17573000000002</v>
      </c>
      <c r="E33" s="257">
        <f>SUM(E29:E32)</f>
        <v>211.44768000000002</v>
      </c>
      <c r="F33" s="257">
        <f>SUM(F29:F32)</f>
        <v>239.81283000000005</v>
      </c>
      <c r="G33" s="257">
        <f t="shared" ref="G33:K33" si="6">SUM(G29:G32)</f>
        <v>270.48486000000003</v>
      </c>
      <c r="H33" s="257">
        <f t="shared" si="6"/>
        <v>303.72857000000005</v>
      </c>
      <c r="I33" s="257">
        <f t="shared" si="6"/>
        <v>339.62855999999999</v>
      </c>
      <c r="J33" s="257">
        <f t="shared" si="6"/>
        <v>378.86041000000006</v>
      </c>
      <c r="K33" s="257">
        <f t="shared" si="6"/>
        <v>420.86553000000004</v>
      </c>
    </row>
    <row r="34" spans="1:11" x14ac:dyDescent="0.25">
      <c r="A34" s="254" t="s">
        <v>576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</row>
    <row r="35" spans="1:11" x14ac:dyDescent="0.25">
      <c r="A35" s="262" t="s">
        <v>588</v>
      </c>
      <c r="B35" s="256">
        <f>+'P&amp;L'!B21*0.9</f>
        <v>79.2</v>
      </c>
      <c r="C35" s="256">
        <f>+'P&amp;L'!C21*0.9</f>
        <v>91.307699999999997</v>
      </c>
      <c r="D35" s="256">
        <f>+'P&amp;L'!D21*0.9</f>
        <v>104.61528</v>
      </c>
      <c r="E35" s="256">
        <f>+'P&amp;L'!E21*0.9</f>
        <v>118.98180000000001</v>
      </c>
      <c r="F35" s="256">
        <f>+'P&amp;L'!F21*0.9</f>
        <v>134.51813999999999</v>
      </c>
      <c r="G35" s="256">
        <f>+'P&amp;L'!G21*0.9</f>
        <v>151.35461999999998</v>
      </c>
      <c r="H35" s="256">
        <f>+'P&amp;L'!H21*0.9</f>
        <v>169.4898</v>
      </c>
      <c r="I35" s="256">
        <f>+'P&amp;L'!I21*0.9</f>
        <v>189.05679000000001</v>
      </c>
      <c r="J35" s="256">
        <f>+'P&amp;L'!J21*0.9</f>
        <v>210.20940000000002</v>
      </c>
      <c r="K35" s="256">
        <f>+'P&amp;L'!K21*0.9</f>
        <v>233.00910000000002</v>
      </c>
    </row>
    <row r="36" spans="1:11" x14ac:dyDescent="0.25">
      <c r="A36" s="255" t="s">
        <v>577</v>
      </c>
      <c r="B36" s="256">
        <f>+'P&amp;L'!B23</f>
        <v>24.1203</v>
      </c>
      <c r="C36" s="256">
        <f>+'P&amp;L'!C23</f>
        <v>25.326315000000001</v>
      </c>
      <c r="D36" s="256">
        <f>+'P&amp;L'!D23</f>
        <v>26.592630750000005</v>
      </c>
      <c r="E36" s="256">
        <f>+'P&amp;L'!E23</f>
        <v>27.922262287500011</v>
      </c>
      <c r="F36" s="256">
        <f>+'P&amp;L'!F23</f>
        <v>29.318375401875002</v>
      </c>
      <c r="G36" s="256">
        <f>+'P&amp;L'!G23</f>
        <v>30.78429417196876</v>
      </c>
      <c r="H36" s="256">
        <f>+'P&amp;L'!H23</f>
        <v>32.323508880567196</v>
      </c>
      <c r="I36" s="256">
        <f>+'P&amp;L'!I23</f>
        <v>33.939684324595561</v>
      </c>
      <c r="J36" s="256">
        <f>+'P&amp;L'!J23</f>
        <v>35.636668540825333</v>
      </c>
      <c r="K36" s="256">
        <f>+'P&amp;L'!K23</f>
        <v>37.418501967866611</v>
      </c>
    </row>
    <row r="37" spans="1:11" x14ac:dyDescent="0.25">
      <c r="A37" s="255" t="s">
        <v>338</v>
      </c>
      <c r="B37" s="256">
        <f>+'P&amp;L'!B25</f>
        <v>16.780999999999999</v>
      </c>
      <c r="C37" s="256">
        <f>+'P&amp;L'!C25</f>
        <v>18.879000000000005</v>
      </c>
      <c r="D37" s="256">
        <f>+'P&amp;L'!D25</f>
        <v>21.018999999999998</v>
      </c>
      <c r="E37" s="256">
        <f>+'P&amp;L'!E25</f>
        <v>23.196000000000002</v>
      </c>
      <c r="F37" s="256">
        <f>+'P&amp;L'!F25</f>
        <v>25.675000000000001</v>
      </c>
      <c r="G37" s="256">
        <f>+'P&amp;L'!G25</f>
        <v>28.017000000000007</v>
      </c>
      <c r="H37" s="256">
        <f>+'P&amp;L'!H25</f>
        <v>30.421000000000006</v>
      </c>
      <c r="I37" s="256">
        <f>+'P&amp;L'!I25</f>
        <v>32.273000000000003</v>
      </c>
      <c r="J37" s="256">
        <f>+'P&amp;L'!J25</f>
        <v>34.332000000000008</v>
      </c>
      <c r="K37" s="256">
        <f>+'P&amp;L'!K25</f>
        <v>36.163999999999994</v>
      </c>
    </row>
    <row r="38" spans="1:11" x14ac:dyDescent="0.25">
      <c r="A38" s="254" t="s">
        <v>578</v>
      </c>
      <c r="B38" s="257">
        <f>SUM(B35:B37)</f>
        <v>120.10130000000001</v>
      </c>
      <c r="C38" s="257">
        <f t="shared" ref="C38:K38" si="7">SUM(C35:C37)</f>
        <v>135.513015</v>
      </c>
      <c r="D38" s="257">
        <f t="shared" si="7"/>
        <v>152.22691075</v>
      </c>
      <c r="E38" s="257">
        <f t="shared" si="7"/>
        <v>170.10006228750001</v>
      </c>
      <c r="F38" s="257">
        <f t="shared" si="7"/>
        <v>189.51151540187499</v>
      </c>
      <c r="G38" s="257">
        <f t="shared" si="7"/>
        <v>210.15591417196873</v>
      </c>
      <c r="H38" s="257">
        <f t="shared" si="7"/>
        <v>232.2343088805672</v>
      </c>
      <c r="I38" s="257">
        <f t="shared" si="7"/>
        <v>255.26947432459556</v>
      </c>
      <c r="J38" s="257">
        <f t="shared" si="7"/>
        <v>280.17806854082534</v>
      </c>
      <c r="K38" s="257">
        <f t="shared" si="7"/>
        <v>306.59160196786661</v>
      </c>
    </row>
    <row r="39" spans="1:11" x14ac:dyDescent="0.25">
      <c r="A39" s="258" t="s">
        <v>579</v>
      </c>
      <c r="B39" s="259">
        <f>B33-B38</f>
        <v>19.2697</v>
      </c>
      <c r="C39" s="259">
        <f>C33-C38</f>
        <v>25.744034999999997</v>
      </c>
      <c r="D39" s="259">
        <f>D33-D38</f>
        <v>32.948819250000014</v>
      </c>
      <c r="E39" s="259">
        <f>E33-E38</f>
        <v>41.347617712500011</v>
      </c>
      <c r="F39" s="259">
        <f>F33-F38</f>
        <v>50.30131459812506</v>
      </c>
      <c r="G39" s="259">
        <f t="shared" ref="G39:K39" si="8">G33-G38</f>
        <v>60.328945828031294</v>
      </c>
      <c r="H39" s="259">
        <f t="shared" si="8"/>
        <v>71.494261119432849</v>
      </c>
      <c r="I39" s="259">
        <f t="shared" si="8"/>
        <v>84.35908567540443</v>
      </c>
      <c r="J39" s="259">
        <f t="shared" si="8"/>
        <v>98.682341459174722</v>
      </c>
      <c r="K39" s="259">
        <f t="shared" si="8"/>
        <v>114.27392803213343</v>
      </c>
    </row>
    <row r="40" spans="1:11" x14ac:dyDescent="0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1"/>
    </row>
    <row r="41" spans="1:11" x14ac:dyDescent="0.25">
      <c r="A41" s="254" t="s">
        <v>582</v>
      </c>
      <c r="B41" s="254" t="s">
        <v>570</v>
      </c>
      <c r="C41" s="254" t="s">
        <v>571</v>
      </c>
      <c r="D41" s="254" t="s">
        <v>572</v>
      </c>
      <c r="E41" s="254" t="s">
        <v>573</v>
      </c>
      <c r="F41" s="254" t="s">
        <v>574</v>
      </c>
      <c r="G41" s="254" t="s">
        <v>583</v>
      </c>
      <c r="H41" s="254" t="s">
        <v>584</v>
      </c>
      <c r="I41" s="254" t="s">
        <v>585</v>
      </c>
      <c r="J41" s="254" t="s">
        <v>586</v>
      </c>
      <c r="K41" s="254" t="s">
        <v>587</v>
      </c>
    </row>
    <row r="42" spans="1:11" x14ac:dyDescent="0.25">
      <c r="A42" s="255" t="str">
        <f>+A29</f>
        <v xml:space="preserve">Revenue from Sale </v>
      </c>
      <c r="B42" s="256">
        <f>+'P&amp;L'!B5</f>
        <v>109.69000000000001</v>
      </c>
      <c r="C42" s="256">
        <f>+'P&amp;L'!C5</f>
        <v>130.63050000000001</v>
      </c>
      <c r="D42" s="256">
        <f>+'P&amp;L'!D5</f>
        <v>150.75409999999999</v>
      </c>
      <c r="E42" s="256">
        <f>+'P&amp;L'!E5</f>
        <v>171.09479999999999</v>
      </c>
      <c r="F42" s="256">
        <f>+'P&amp;L'!F5</f>
        <v>193.74630000000002</v>
      </c>
      <c r="G42" s="256">
        <f>+'P&amp;L'!G5</f>
        <v>217.9434</v>
      </c>
      <c r="H42" s="256">
        <f>+'P&amp;L'!H5</f>
        <v>243.76769999999999</v>
      </c>
      <c r="I42" s="256">
        <f>+'P&amp;L'!I5</f>
        <v>272.27479999999997</v>
      </c>
      <c r="J42" s="256">
        <f>+'P&amp;L'!J5</f>
        <v>302.98649999999998</v>
      </c>
      <c r="K42" s="256">
        <f>+'P&amp;L'!K5</f>
        <v>335.13889999999998</v>
      </c>
    </row>
    <row r="43" spans="1:11" x14ac:dyDescent="0.25">
      <c r="A43" s="255" t="str">
        <f>+A30</f>
        <v>Revenue- Service Charges - Rice Milling</v>
      </c>
      <c r="B43" s="256">
        <f>+'P&amp;L'!B6</f>
        <v>36</v>
      </c>
      <c r="C43" s="256">
        <f>+'P&amp;L'!C6</f>
        <v>41.580000000000005</v>
      </c>
      <c r="D43" s="256">
        <f>+'P&amp;L'!D6</f>
        <v>47.649600000000007</v>
      </c>
      <c r="E43" s="256">
        <f>+'P&amp;L'!E6</f>
        <v>54.194400000000009</v>
      </c>
      <c r="F43" s="256">
        <f>+'P&amp;L'!F6</f>
        <v>61.286400000000008</v>
      </c>
      <c r="G43" s="256">
        <f>+'P&amp;L'!G6</f>
        <v>68.958000000000013</v>
      </c>
      <c r="H43" s="256">
        <f>+'P&amp;L'!H6</f>
        <v>77.241600000000034</v>
      </c>
      <c r="I43" s="256">
        <f>+'P&amp;L'!I6</f>
        <v>86.169600000000017</v>
      </c>
      <c r="J43" s="256">
        <f>+'P&amp;L'!J6</f>
        <v>95.774400000000043</v>
      </c>
      <c r="K43" s="256">
        <f>+'P&amp;L'!K6</f>
        <v>106.15680000000003</v>
      </c>
    </row>
    <row r="44" spans="1:11" x14ac:dyDescent="0.25">
      <c r="A44" s="255" t="str">
        <f>+A31</f>
        <v>Revenue from Weigh Bridge operation</v>
      </c>
      <c r="B44" s="256">
        <f>+'P&amp;L'!B8</f>
        <v>3.7800000000000002</v>
      </c>
      <c r="C44" s="256">
        <f>+'P&amp;L'!C8</f>
        <v>4.8575999999999997</v>
      </c>
      <c r="D44" s="256">
        <f>+'P&amp;L'!D8</f>
        <v>6.12</v>
      </c>
      <c r="E44" s="256">
        <f>+'P&amp;L'!E8</f>
        <v>7.5815999999999999</v>
      </c>
      <c r="F44" s="256">
        <f>+'P&amp;L'!F8</f>
        <v>9.3631999999999991</v>
      </c>
      <c r="G44" s="256">
        <f>+'P&amp;L'!G8</f>
        <v>11.280000000000001</v>
      </c>
      <c r="H44" s="256">
        <f>+'P&amp;L'!H8</f>
        <v>13.440000000000001</v>
      </c>
      <c r="I44" s="256">
        <f>+'P&amp;L'!I8</f>
        <v>15.857600000000001</v>
      </c>
      <c r="J44" s="256">
        <f>+'P&amp;L'!J8</f>
        <v>18.712800000000001</v>
      </c>
      <c r="K44" s="256">
        <f>+'P&amp;L'!K8</f>
        <v>21.705599999999997</v>
      </c>
    </row>
    <row r="45" spans="1:11" x14ac:dyDescent="0.25">
      <c r="A45" s="255" t="str">
        <f>+A32</f>
        <v>Change in Closing Stock of FG</v>
      </c>
      <c r="B45" s="256">
        <f>+'P&amp;L'!B12-'P&amp;L'!B11</f>
        <v>4.47</v>
      </c>
      <c r="C45" s="256">
        <f>+'P&amp;L'!C12-'P&amp;L'!C11</f>
        <v>1.4100000000000001</v>
      </c>
      <c r="D45" s="256">
        <f>+'P&amp;L'!D12-'P&amp;L'!D11</f>
        <v>0.49239999999999995</v>
      </c>
      <c r="E45" s="256">
        <f>+'P&amp;L'!E12-'P&amp;L'!E11</f>
        <v>1.1058000000000003</v>
      </c>
      <c r="F45" s="256">
        <f>+'P&amp;L'!F12-'P&amp;L'!F11</f>
        <v>0.92020000000000035</v>
      </c>
      <c r="G45" s="256">
        <f>+'P&amp;L'!G12-'P&amp;L'!G11</f>
        <v>0.9936000000000007</v>
      </c>
      <c r="H45" s="256">
        <f>+'P&amp;L'!H12-'P&amp;L'!H11</f>
        <v>1.3801999999999985</v>
      </c>
      <c r="I45" s="256">
        <f>+'P&amp;L'!I12-'P&amp;L'!I11</f>
        <v>1.1709999999999994</v>
      </c>
      <c r="J45" s="256">
        <f>+'P&amp;L'!J12-'P&amp;L'!J11</f>
        <v>1.2628000000000004</v>
      </c>
      <c r="K45" s="256">
        <f>+'P&amp;L'!K12-'P&amp;L'!K11</f>
        <v>1.9937999999999985</v>
      </c>
    </row>
    <row r="46" spans="1:11" x14ac:dyDescent="0.25">
      <c r="A46" s="254" t="s">
        <v>575</v>
      </c>
      <c r="B46" s="257">
        <f>SUM(B42:B45)</f>
        <v>153.94</v>
      </c>
      <c r="C46" s="257">
        <f>SUM(C42:C45)</f>
        <v>178.47810000000001</v>
      </c>
      <c r="D46" s="257">
        <f>SUM(D42:D45)</f>
        <v>205.01610000000002</v>
      </c>
      <c r="E46" s="257">
        <f>SUM(E42:E45)</f>
        <v>233.97659999999999</v>
      </c>
      <c r="F46" s="257">
        <f>SUM(F42:F45)</f>
        <v>265.31610000000006</v>
      </c>
      <c r="G46" s="257">
        <f t="shared" ref="G46:K46" si="9">SUM(G42:G45)</f>
        <v>299.17500000000007</v>
      </c>
      <c r="H46" s="257">
        <f t="shared" si="9"/>
        <v>335.82950000000005</v>
      </c>
      <c r="I46" s="257">
        <f t="shared" si="9"/>
        <v>375.47299999999996</v>
      </c>
      <c r="J46" s="257">
        <f t="shared" si="9"/>
        <v>418.73650000000004</v>
      </c>
      <c r="K46" s="257">
        <f t="shared" si="9"/>
        <v>464.99510000000004</v>
      </c>
    </row>
    <row r="47" spans="1:11" x14ac:dyDescent="0.25">
      <c r="A47" s="254" t="s">
        <v>576</v>
      </c>
      <c r="B47" s="256"/>
      <c r="C47" s="256"/>
      <c r="D47" s="256"/>
      <c r="E47" s="256"/>
      <c r="F47" s="256"/>
      <c r="G47" s="256"/>
      <c r="H47" s="256"/>
      <c r="I47" s="256"/>
      <c r="J47" s="256"/>
      <c r="K47" s="256"/>
    </row>
    <row r="48" spans="1:11" x14ac:dyDescent="0.25">
      <c r="A48" s="262" t="s">
        <v>588</v>
      </c>
      <c r="B48" s="256">
        <f>+'P&amp;L'!B21*0.9</f>
        <v>79.2</v>
      </c>
      <c r="C48" s="256">
        <f>+'P&amp;L'!C21*0.9</f>
        <v>91.307699999999997</v>
      </c>
      <c r="D48" s="256">
        <f>+'P&amp;L'!D21*0.9</f>
        <v>104.61528</v>
      </c>
      <c r="E48" s="256">
        <f>+'P&amp;L'!E21*0.9</f>
        <v>118.98180000000001</v>
      </c>
      <c r="F48" s="256">
        <f>+'P&amp;L'!F21*0.9</f>
        <v>134.51813999999999</v>
      </c>
      <c r="G48" s="256">
        <f>+'P&amp;L'!G21*0.9</f>
        <v>151.35461999999998</v>
      </c>
      <c r="H48" s="256">
        <f>+'P&amp;L'!H21*0.9</f>
        <v>169.4898</v>
      </c>
      <c r="I48" s="256">
        <f>+'P&amp;L'!I21*0.9</f>
        <v>189.05679000000001</v>
      </c>
      <c r="J48" s="256">
        <f>+'P&amp;L'!J21*0.9</f>
        <v>210.20940000000002</v>
      </c>
      <c r="K48" s="256">
        <f>+'P&amp;L'!K21*0.9</f>
        <v>233.00910000000002</v>
      </c>
    </row>
    <row r="49" spans="1:11" x14ac:dyDescent="0.25">
      <c r="A49" s="255" t="s">
        <v>577</v>
      </c>
      <c r="B49" s="256">
        <f>+'P&amp;L'!B23*0.9</f>
        <v>21.708270000000002</v>
      </c>
      <c r="C49" s="256">
        <f>+'P&amp;L'!C23*0.9</f>
        <v>22.7936835</v>
      </c>
      <c r="D49" s="256">
        <f>+'P&amp;L'!D23*0.9</f>
        <v>23.933367675000007</v>
      </c>
      <c r="E49" s="256">
        <f>+'P&amp;L'!E23*0.9</f>
        <v>25.130036058750012</v>
      </c>
      <c r="F49" s="256">
        <f>+'P&amp;L'!F23*0.9</f>
        <v>26.386537861687504</v>
      </c>
      <c r="G49" s="256">
        <f>+'P&amp;L'!G23*0.9</f>
        <v>27.705864754771884</v>
      </c>
      <c r="H49" s="256">
        <f>+'P&amp;L'!H23*0.9</f>
        <v>29.091157992510478</v>
      </c>
      <c r="I49" s="256">
        <f>+'P&amp;L'!I23*0.9</f>
        <v>30.545715892136005</v>
      </c>
      <c r="J49" s="256">
        <f>+'P&amp;L'!J23*0.9</f>
        <v>32.073001686742799</v>
      </c>
      <c r="K49" s="256">
        <f>+'P&amp;L'!K23*0.9</f>
        <v>33.676651771079953</v>
      </c>
    </row>
    <row r="50" spans="1:11" x14ac:dyDescent="0.25">
      <c r="A50" s="255" t="s">
        <v>338</v>
      </c>
      <c r="B50" s="256">
        <f>+'P&amp;L'!B25*0.9</f>
        <v>15.1029</v>
      </c>
      <c r="C50" s="256">
        <f>+'P&amp;L'!C25*0.9</f>
        <v>16.991100000000007</v>
      </c>
      <c r="D50" s="256">
        <f>+'P&amp;L'!D25*0.9</f>
        <v>18.917099999999998</v>
      </c>
      <c r="E50" s="256">
        <f>+'P&amp;L'!E25*0.9</f>
        <v>20.8764</v>
      </c>
      <c r="F50" s="256">
        <f>+'P&amp;L'!F25*0.9</f>
        <v>23.107500000000002</v>
      </c>
      <c r="G50" s="256">
        <f>+'P&amp;L'!G25*0.9</f>
        <v>25.215300000000006</v>
      </c>
      <c r="H50" s="256">
        <f>+'P&amp;L'!H25*0.9</f>
        <v>27.378900000000005</v>
      </c>
      <c r="I50" s="256">
        <f>+'P&amp;L'!I25*0.9</f>
        <v>29.045700000000004</v>
      </c>
      <c r="J50" s="256">
        <f>+'P&amp;L'!J25*0.9</f>
        <v>30.898800000000008</v>
      </c>
      <c r="K50" s="256">
        <f>+'P&amp;L'!K25*0.9</f>
        <v>32.547599999999996</v>
      </c>
    </row>
    <row r="51" spans="1:11" x14ac:dyDescent="0.25">
      <c r="A51" s="254" t="s">
        <v>578</v>
      </c>
      <c r="B51" s="257">
        <f>SUM(B48:B50)</f>
        <v>116.01117000000001</v>
      </c>
      <c r="C51" s="257">
        <f t="shared" ref="C51:K51" si="10">SUM(C48:C50)</f>
        <v>131.09248350000001</v>
      </c>
      <c r="D51" s="257">
        <f t="shared" si="10"/>
        <v>147.46574767500002</v>
      </c>
      <c r="E51" s="257">
        <f t="shared" si="10"/>
        <v>164.98823605875</v>
      </c>
      <c r="F51" s="257">
        <f t="shared" si="10"/>
        <v>184.01217786168752</v>
      </c>
      <c r="G51" s="257">
        <f t="shared" si="10"/>
        <v>204.27578475477188</v>
      </c>
      <c r="H51" s="257">
        <f t="shared" si="10"/>
        <v>225.95985799251051</v>
      </c>
      <c r="I51" s="257">
        <f t="shared" si="10"/>
        <v>248.64820589213602</v>
      </c>
      <c r="J51" s="257">
        <f t="shared" si="10"/>
        <v>273.18120168674284</v>
      </c>
      <c r="K51" s="257">
        <f t="shared" si="10"/>
        <v>299.23335177107998</v>
      </c>
    </row>
    <row r="52" spans="1:11" x14ac:dyDescent="0.25">
      <c r="A52" s="258" t="s">
        <v>579</v>
      </c>
      <c r="B52" s="259">
        <f>B46-B51</f>
        <v>37.928829999999991</v>
      </c>
      <c r="C52" s="259">
        <f>C46-C51</f>
        <v>47.385616499999998</v>
      </c>
      <c r="D52" s="259">
        <f>D46-D51</f>
        <v>57.550352325000006</v>
      </c>
      <c r="E52" s="259">
        <f>E46-E51</f>
        <v>68.988363941249986</v>
      </c>
      <c r="F52" s="259">
        <f>F46-F51</f>
        <v>81.303922138312544</v>
      </c>
      <c r="G52" s="259">
        <f t="shared" ref="G52:K52" si="11">G46-G51</f>
        <v>94.899215245228191</v>
      </c>
      <c r="H52" s="259">
        <f t="shared" si="11"/>
        <v>109.86964200748955</v>
      </c>
      <c r="I52" s="259">
        <f t="shared" si="11"/>
        <v>126.82479410786394</v>
      </c>
      <c r="J52" s="259">
        <f t="shared" si="11"/>
        <v>145.5552983132572</v>
      </c>
      <c r="K52" s="259">
        <f t="shared" si="11"/>
        <v>165.76174822892006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activeCell="A2" sqref="A2:K17"/>
    </sheetView>
  </sheetViews>
  <sheetFormatPr defaultColWidth="9.140625" defaultRowHeight="15" x14ac:dyDescent="0.25"/>
  <cols>
    <col min="1" max="1" width="22.42578125" bestFit="1" customWidth="1"/>
    <col min="2" max="2" width="9.5703125" bestFit="1" customWidth="1"/>
    <col min="3" max="3" width="11.140625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270" customFormat="1" ht="30" x14ac:dyDescent="0.25">
      <c r="A2" s="289" t="s">
        <v>608</v>
      </c>
      <c r="B2" s="290" t="s">
        <v>36</v>
      </c>
      <c r="C2" s="290" t="s">
        <v>37</v>
      </c>
      <c r="D2" s="290" t="s">
        <v>38</v>
      </c>
      <c r="E2" s="290" t="s">
        <v>39</v>
      </c>
      <c r="F2" s="290" t="s">
        <v>40</v>
      </c>
      <c r="G2" s="290" t="s">
        <v>41</v>
      </c>
      <c r="H2" s="290" t="s">
        <v>42</v>
      </c>
      <c r="I2" s="290" t="s">
        <v>499</v>
      </c>
      <c r="J2" s="290" t="s">
        <v>500</v>
      </c>
      <c r="K2" s="290" t="s">
        <v>501</v>
      </c>
    </row>
    <row r="3" spans="1:1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5">
      <c r="A4" s="18" t="s">
        <v>606</v>
      </c>
      <c r="B4" s="291">
        <v>1180</v>
      </c>
      <c r="C4" s="291">
        <f>ROUND(B4*120%,0)</f>
        <v>1416</v>
      </c>
      <c r="D4" s="291">
        <f t="shared" ref="D4:K4" si="0">ROUND(C4*120%,0)</f>
        <v>1699</v>
      </c>
      <c r="E4" s="291">
        <f t="shared" si="0"/>
        <v>2039</v>
      </c>
      <c r="F4" s="291">
        <f t="shared" si="0"/>
        <v>2447</v>
      </c>
      <c r="G4" s="291">
        <f t="shared" si="0"/>
        <v>2936</v>
      </c>
      <c r="H4" s="291">
        <f t="shared" si="0"/>
        <v>3523</v>
      </c>
      <c r="I4" s="291">
        <f t="shared" si="0"/>
        <v>4228</v>
      </c>
      <c r="J4" s="291">
        <f t="shared" si="0"/>
        <v>5074</v>
      </c>
      <c r="K4" s="291">
        <f t="shared" si="0"/>
        <v>6089</v>
      </c>
    </row>
    <row r="5" spans="1:11" x14ac:dyDescent="0.25">
      <c r="A5" s="18" t="s">
        <v>607</v>
      </c>
      <c r="B5" s="291">
        <v>3600</v>
      </c>
      <c r="C5" s="291">
        <f>B5-(C4-B4)</f>
        <v>3364</v>
      </c>
      <c r="D5" s="291">
        <f t="shared" ref="D5:K5" si="1">C5-(D4-C4)</f>
        <v>3081</v>
      </c>
      <c r="E5" s="291">
        <f t="shared" si="1"/>
        <v>2741</v>
      </c>
      <c r="F5" s="291">
        <f t="shared" si="1"/>
        <v>2333</v>
      </c>
      <c r="G5" s="291">
        <f t="shared" si="1"/>
        <v>1844</v>
      </c>
      <c r="H5" s="291">
        <f t="shared" si="1"/>
        <v>1257</v>
      </c>
      <c r="I5" s="291">
        <f t="shared" si="1"/>
        <v>552</v>
      </c>
      <c r="J5" s="291">
        <v>0</v>
      </c>
      <c r="K5" s="291">
        <v>0</v>
      </c>
    </row>
    <row r="6" spans="1:1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s="270" customFormat="1" x14ac:dyDescent="0.25">
      <c r="A8" s="283" t="s">
        <v>609</v>
      </c>
      <c r="B8" s="290" t="s">
        <v>36</v>
      </c>
      <c r="C8" s="290" t="s">
        <v>37</v>
      </c>
      <c r="D8" s="290" t="s">
        <v>38</v>
      </c>
      <c r="E8" s="290" t="s">
        <v>39</v>
      </c>
      <c r="F8" s="290" t="s">
        <v>40</v>
      </c>
      <c r="G8" s="290" t="s">
        <v>41</v>
      </c>
      <c r="H8" s="290" t="s">
        <v>42</v>
      </c>
      <c r="I8" s="290" t="s">
        <v>499</v>
      </c>
      <c r="J8" s="290" t="s">
        <v>500</v>
      </c>
      <c r="K8" s="290" t="s">
        <v>501</v>
      </c>
    </row>
    <row r="9" spans="1:1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5">
      <c r="A10" s="18" t="s">
        <v>606</v>
      </c>
      <c r="B10" s="292">
        <v>2000</v>
      </c>
      <c r="C10" s="292">
        <f>B10+(B11-C11)</f>
        <v>2590</v>
      </c>
      <c r="D10" s="292">
        <f t="shared" ref="D10:K10" si="2">C10+(C11-D11)</f>
        <v>3297.5</v>
      </c>
      <c r="E10" s="292">
        <f t="shared" si="2"/>
        <v>4147.5</v>
      </c>
      <c r="F10" s="292">
        <f t="shared" si="2"/>
        <v>5167.5</v>
      </c>
      <c r="G10" s="292">
        <f t="shared" si="2"/>
        <v>6390</v>
      </c>
      <c r="H10" s="292">
        <f t="shared" si="2"/>
        <v>7857.5</v>
      </c>
      <c r="I10" s="292">
        <f t="shared" si="2"/>
        <v>9620</v>
      </c>
      <c r="J10" s="292">
        <f t="shared" si="2"/>
        <v>11000</v>
      </c>
      <c r="K10" s="292">
        <f t="shared" si="2"/>
        <v>11000</v>
      </c>
    </row>
    <row r="11" spans="1:11" x14ac:dyDescent="0.25">
      <c r="A11" s="18" t="s">
        <v>607</v>
      </c>
      <c r="B11" s="292">
        <f>B5*2.5</f>
        <v>9000</v>
      </c>
      <c r="C11" s="292">
        <f t="shared" ref="C11:K11" si="3">C5*2.5</f>
        <v>8410</v>
      </c>
      <c r="D11" s="292">
        <f t="shared" si="3"/>
        <v>7702.5</v>
      </c>
      <c r="E11" s="292">
        <f t="shared" si="3"/>
        <v>6852.5</v>
      </c>
      <c r="F11" s="292">
        <f t="shared" si="3"/>
        <v>5832.5</v>
      </c>
      <c r="G11" s="292">
        <f t="shared" si="3"/>
        <v>4610</v>
      </c>
      <c r="H11" s="292">
        <f t="shared" si="3"/>
        <v>3142.5</v>
      </c>
      <c r="I11" s="292">
        <f t="shared" si="3"/>
        <v>1380</v>
      </c>
      <c r="J11" s="292">
        <f t="shared" si="3"/>
        <v>0</v>
      </c>
      <c r="K11" s="292">
        <f t="shared" si="3"/>
        <v>0</v>
      </c>
    </row>
    <row r="12" spans="1:11" x14ac:dyDescent="0.25">
      <c r="A12" s="18"/>
      <c r="B12" s="291"/>
      <c r="C12" s="291"/>
      <c r="D12" s="291"/>
      <c r="E12" s="291"/>
      <c r="F12" s="291"/>
      <c r="G12" s="291"/>
      <c r="H12" s="291"/>
      <c r="I12" s="291"/>
      <c r="J12" s="291"/>
      <c r="K12" s="291"/>
    </row>
    <row r="13" spans="1:11" s="270" customFormat="1" x14ac:dyDescent="0.25">
      <c r="A13" s="283" t="s">
        <v>610</v>
      </c>
      <c r="B13" s="293">
        <f>SUM(B10:B12)</f>
        <v>11000</v>
      </c>
      <c r="C13" s="293">
        <f t="shared" ref="C13:K13" si="4">SUM(C10:C12)</f>
        <v>11000</v>
      </c>
      <c r="D13" s="293">
        <f t="shared" si="4"/>
        <v>11000</v>
      </c>
      <c r="E13" s="293">
        <f t="shared" si="4"/>
        <v>11000</v>
      </c>
      <c r="F13" s="293">
        <f t="shared" si="4"/>
        <v>11000</v>
      </c>
      <c r="G13" s="293">
        <f t="shared" si="4"/>
        <v>11000</v>
      </c>
      <c r="H13" s="293">
        <f t="shared" si="4"/>
        <v>11000</v>
      </c>
      <c r="I13" s="293">
        <f t="shared" si="4"/>
        <v>11000</v>
      </c>
      <c r="J13" s="293">
        <f t="shared" si="4"/>
        <v>11000</v>
      </c>
      <c r="K13" s="293">
        <f t="shared" si="4"/>
        <v>11000</v>
      </c>
    </row>
    <row r="14" spans="1:1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s="270" customFormat="1" ht="50.25" customHeight="1" x14ac:dyDescent="0.25">
      <c r="A15" s="289" t="s">
        <v>665</v>
      </c>
      <c r="B15" s="293">
        <f>B13*0.7</f>
        <v>7699.9999999999991</v>
      </c>
      <c r="C15" s="293">
        <f t="shared" ref="C15:K15" si="5">C13*0.7</f>
        <v>7699.9999999999991</v>
      </c>
      <c r="D15" s="293">
        <f t="shared" si="5"/>
        <v>7699.9999999999991</v>
      </c>
      <c r="E15" s="293">
        <f t="shared" si="5"/>
        <v>7699.9999999999991</v>
      </c>
      <c r="F15" s="293">
        <f t="shared" si="5"/>
        <v>7699.9999999999991</v>
      </c>
      <c r="G15" s="293">
        <f t="shared" si="5"/>
        <v>7699.9999999999991</v>
      </c>
      <c r="H15" s="293">
        <f t="shared" si="5"/>
        <v>7699.9999999999991</v>
      </c>
      <c r="I15" s="293">
        <f t="shared" si="5"/>
        <v>7699.9999999999991</v>
      </c>
      <c r="J15" s="293">
        <f t="shared" si="5"/>
        <v>7699.9999999999991</v>
      </c>
      <c r="K15" s="293">
        <f t="shared" si="5"/>
        <v>7699.9999999999991</v>
      </c>
    </row>
    <row r="16" spans="1:1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s="270" customFormat="1" ht="30" x14ac:dyDescent="0.25">
      <c r="A17" s="289" t="s">
        <v>612</v>
      </c>
      <c r="B17" s="290">
        <f>'Output Schedule'!B17+'Output Schedule'!B12</f>
        <v>4000</v>
      </c>
      <c r="C17" s="290">
        <f>'Output Schedule'!C17+'Output Schedule'!C12</f>
        <v>4400.0000000000009</v>
      </c>
      <c r="D17" s="290">
        <f>'Output Schedule'!D17+'Output Schedule'!D12</f>
        <v>4800.0000000000009</v>
      </c>
      <c r="E17" s="290">
        <f>'Output Schedule'!E17+'Output Schedule'!E12</f>
        <v>5200.0000000000009</v>
      </c>
      <c r="F17" s="290">
        <f>'Output Schedule'!F17+'Output Schedule'!F12</f>
        <v>5600.0000000000009</v>
      </c>
      <c r="G17" s="290">
        <f>'Output Schedule'!G17+'Output Schedule'!G12</f>
        <v>6000.0000000000018</v>
      </c>
      <c r="H17" s="290">
        <f>'Output Schedule'!H17+'Output Schedule'!H12</f>
        <v>6400.0000000000018</v>
      </c>
      <c r="I17" s="290">
        <f>'Output Schedule'!I17+'Output Schedule'!I12</f>
        <v>6800.0000000000018</v>
      </c>
      <c r="J17" s="290">
        <f>'Output Schedule'!J17+'Output Schedule'!J12</f>
        <v>7200.0000000000027</v>
      </c>
      <c r="K17" s="290">
        <f>'Output Schedule'!K17+'Output Schedule'!K12</f>
        <v>7600.0000000000027</v>
      </c>
    </row>
  </sheetData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60" zoomScaleNormal="100" workbookViewId="0">
      <selection activeCell="B15" sqref="B15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22.28515625" style="1" bestFit="1" customWidth="1"/>
    <col min="5" max="5" width="22" style="1" bestFit="1" customWidth="1"/>
    <col min="6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12" ht="18.75" x14ac:dyDescent="0.3">
      <c r="A1" s="303" t="s">
        <v>25</v>
      </c>
      <c r="B1" s="303"/>
    </row>
    <row r="2" spans="1:12" ht="15.75" x14ac:dyDescent="0.25">
      <c r="A2" s="12" t="s">
        <v>26</v>
      </c>
    </row>
    <row r="3" spans="1:12" x14ac:dyDescent="0.25">
      <c r="A3" s="15" t="s">
        <v>1</v>
      </c>
      <c r="B3" s="15" t="s">
        <v>27</v>
      </c>
      <c r="C3" s="15" t="s">
        <v>552</v>
      </c>
      <c r="D3" s="15" t="s">
        <v>667</v>
      </c>
      <c r="E3" s="15" t="s">
        <v>668</v>
      </c>
    </row>
    <row r="4" spans="1:12" x14ac:dyDescent="0.25">
      <c r="A4" s="6"/>
      <c r="B4" s="6"/>
      <c r="C4" s="6"/>
    </row>
    <row r="5" spans="1:12" x14ac:dyDescent="0.25">
      <c r="A5" s="6" t="s">
        <v>28</v>
      </c>
      <c r="B5" s="9">
        <v>0</v>
      </c>
      <c r="C5" s="246">
        <f>B5/$B$15</f>
        <v>0</v>
      </c>
      <c r="D5" s="294">
        <v>0</v>
      </c>
      <c r="E5" s="25">
        <f>B5*D5</f>
        <v>0</v>
      </c>
    </row>
    <row r="6" spans="1:12" x14ac:dyDescent="0.25">
      <c r="A6" s="6" t="s">
        <v>5</v>
      </c>
      <c r="B6" s="19">
        <f>'Capital Cost'!C7</f>
        <v>115.04</v>
      </c>
      <c r="C6" s="246">
        <f t="shared" ref="C6:C13" si="0">B6/$B$15</f>
        <v>0.4919516935637861</v>
      </c>
      <c r="D6" s="294">
        <v>0.6</v>
      </c>
      <c r="E6" s="25">
        <f t="shared" ref="E6:E13" si="1">B6*D6</f>
        <v>69.024000000000001</v>
      </c>
    </row>
    <row r="7" spans="1:12" x14ac:dyDescent="0.25">
      <c r="A7" s="6" t="s">
        <v>7</v>
      </c>
      <c r="B7" s="19">
        <v>0</v>
      </c>
      <c r="C7" s="246">
        <f t="shared" si="0"/>
        <v>0</v>
      </c>
      <c r="D7" s="294">
        <v>0</v>
      </c>
      <c r="E7" s="25">
        <f t="shared" si="1"/>
        <v>0</v>
      </c>
    </row>
    <row r="8" spans="1:12" x14ac:dyDescent="0.25">
      <c r="A8" s="10" t="s">
        <v>409</v>
      </c>
      <c r="B8" s="19">
        <f>+'Capital Cost'!C12+'Capital Cost'!C24+'Capital Cost'!C26+'Capital Cost'!C33</f>
        <v>105.38000000000001</v>
      </c>
      <c r="C8" s="246">
        <f t="shared" si="0"/>
        <v>0.45064211985180619</v>
      </c>
      <c r="D8" s="294">
        <v>0.6</v>
      </c>
      <c r="E8" s="25">
        <f t="shared" si="1"/>
        <v>63.228000000000002</v>
      </c>
    </row>
    <row r="9" spans="1:12" hidden="1" x14ac:dyDescent="0.25">
      <c r="A9" s="10" t="s">
        <v>496</v>
      </c>
      <c r="B9" s="19"/>
      <c r="C9" s="246">
        <f t="shared" si="0"/>
        <v>0</v>
      </c>
      <c r="D9" s="294"/>
      <c r="E9" s="25">
        <f t="shared" si="1"/>
        <v>0</v>
      </c>
    </row>
    <row r="10" spans="1:12" x14ac:dyDescent="0.25">
      <c r="A10" s="10" t="s">
        <v>594</v>
      </c>
      <c r="B10" s="19">
        <f>+'Capital Cost'!C36</f>
        <v>11.021000000000001</v>
      </c>
      <c r="C10" s="246">
        <f t="shared" si="0"/>
        <v>4.7129690670779614E-2</v>
      </c>
      <c r="D10" s="294">
        <v>0.6</v>
      </c>
      <c r="E10" s="25">
        <f t="shared" si="1"/>
        <v>6.6126000000000005</v>
      </c>
    </row>
    <row r="11" spans="1:12" x14ac:dyDescent="0.25">
      <c r="A11" s="10" t="s">
        <v>410</v>
      </c>
      <c r="B11" s="19">
        <v>0</v>
      </c>
      <c r="C11" s="246">
        <f t="shared" si="0"/>
        <v>0</v>
      </c>
      <c r="D11" s="294">
        <v>0.6</v>
      </c>
      <c r="E11" s="25">
        <f t="shared" si="1"/>
        <v>0</v>
      </c>
    </row>
    <row r="12" spans="1:12" x14ac:dyDescent="0.25">
      <c r="A12" s="6" t="s">
        <v>21</v>
      </c>
      <c r="B12" s="19">
        <v>0</v>
      </c>
      <c r="C12" s="246">
        <f t="shared" si="0"/>
        <v>0</v>
      </c>
      <c r="D12" s="294">
        <v>0</v>
      </c>
      <c r="E12" s="25">
        <f t="shared" si="1"/>
        <v>0</v>
      </c>
    </row>
    <row r="13" spans="1:12" x14ac:dyDescent="0.25">
      <c r="A13" s="6" t="s">
        <v>23</v>
      </c>
      <c r="B13" s="19">
        <f>'WC Assessment'!C13</f>
        <v>2.4030979166666664</v>
      </c>
      <c r="C13" s="246">
        <f t="shared" si="0"/>
        <v>1.0276495913628066E-2</v>
      </c>
      <c r="D13" s="294">
        <v>0</v>
      </c>
      <c r="E13" s="25">
        <f t="shared" si="1"/>
        <v>0</v>
      </c>
      <c r="L13"/>
    </row>
    <row r="14" spans="1:12" x14ac:dyDescent="0.25">
      <c r="A14" s="6"/>
      <c r="B14" s="6"/>
      <c r="C14" s="6"/>
      <c r="I14"/>
      <c r="J14"/>
      <c r="K14"/>
      <c r="L14"/>
    </row>
    <row r="15" spans="1:12" x14ac:dyDescent="0.25">
      <c r="A15" s="218" t="s">
        <v>29</v>
      </c>
      <c r="B15" s="247">
        <f>SUM(B5:B14)</f>
        <v>233.8440979166667</v>
      </c>
      <c r="C15" s="248">
        <f>B15/$B$15</f>
        <v>1</v>
      </c>
      <c r="E15" s="25">
        <f>SUM(E5:E14)</f>
        <v>138.8646</v>
      </c>
      <c r="I15"/>
      <c r="J15"/>
      <c r="K15"/>
      <c r="L15"/>
    </row>
    <row r="16" spans="1:12" x14ac:dyDescent="0.25">
      <c r="I16"/>
      <c r="J16"/>
      <c r="K16"/>
      <c r="L16"/>
    </row>
    <row r="17" spans="1:12" ht="15.75" x14ac:dyDescent="0.25">
      <c r="A17" s="14" t="s">
        <v>30</v>
      </c>
      <c r="I17"/>
      <c r="J17"/>
      <c r="K17"/>
      <c r="L17"/>
    </row>
    <row r="18" spans="1:12" x14ac:dyDescent="0.25">
      <c r="A18" s="15" t="s">
        <v>1</v>
      </c>
      <c r="B18" s="15" t="s">
        <v>27</v>
      </c>
      <c r="C18" s="15" t="s">
        <v>553</v>
      </c>
      <c r="I18"/>
      <c r="J18"/>
      <c r="K18"/>
      <c r="L18"/>
    </row>
    <row r="19" spans="1:12" x14ac:dyDescent="0.25">
      <c r="A19" s="6" t="s">
        <v>32</v>
      </c>
      <c r="B19" s="19">
        <f>+B15-B20</f>
        <v>94.979497916666674</v>
      </c>
      <c r="C19" s="246">
        <f>B19/$B$23</f>
        <v>0.40616589754817684</v>
      </c>
      <c r="D19" s="38"/>
      <c r="I19"/>
      <c r="J19"/>
      <c r="K19"/>
      <c r="L19"/>
    </row>
    <row r="20" spans="1:12" x14ac:dyDescent="0.25">
      <c r="A20" s="6" t="s">
        <v>327</v>
      </c>
      <c r="B20" s="19">
        <f>+(B15-B13)*0.6</f>
        <v>138.86460000000002</v>
      </c>
      <c r="C20" s="246">
        <f t="shared" ref="C20:C23" si="2">B20/$B$23</f>
        <v>0.59383410245182322</v>
      </c>
      <c r="D20" s="38"/>
    </row>
    <row r="21" spans="1:12" x14ac:dyDescent="0.25">
      <c r="A21" s="6" t="s">
        <v>31</v>
      </c>
      <c r="B21" s="19">
        <v>0</v>
      </c>
      <c r="C21" s="246">
        <f t="shared" si="2"/>
        <v>0</v>
      </c>
      <c r="D21" s="38"/>
    </row>
    <row r="22" spans="1:12" x14ac:dyDescent="0.25">
      <c r="A22" s="6"/>
      <c r="B22" s="6"/>
      <c r="C22" s="6"/>
    </row>
    <row r="23" spans="1:12" x14ac:dyDescent="0.25">
      <c r="A23" s="218" t="s">
        <v>29</v>
      </c>
      <c r="B23" s="247">
        <f>B15</f>
        <v>233.8440979166667</v>
      </c>
      <c r="C23" s="248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18" sqref="B18"/>
    </sheetView>
  </sheetViews>
  <sheetFormatPr defaultRowHeight="15" x14ac:dyDescent="0.25"/>
  <cols>
    <col min="1" max="1" width="0" style="1" hidden="1" customWidth="1"/>
    <col min="2" max="2" width="32.28515625" style="1" bestFit="1" customWidth="1"/>
    <col min="3" max="10" width="9.42578125" style="1" bestFit="1" customWidth="1"/>
    <col min="11" max="11" width="8.42578125" style="1" bestFit="1" customWidth="1"/>
    <col min="12" max="12" width="8" style="1" bestFit="1" customWidth="1"/>
    <col min="13" max="14" width="9.140625" style="1"/>
    <col min="15" max="15" width="30.5703125" style="1" bestFit="1" customWidth="1"/>
    <col min="16" max="18" width="9.42578125" style="1" bestFit="1" customWidth="1"/>
    <col min="19" max="25" width="8.42578125" style="1" bestFit="1" customWidth="1"/>
    <col min="26" max="16384" width="9.140625" style="1"/>
  </cols>
  <sheetData>
    <row r="2" spans="2:25" x14ac:dyDescent="0.25">
      <c r="B2" s="304" t="s">
        <v>34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O2" s="304" t="s">
        <v>35</v>
      </c>
      <c r="P2" s="305"/>
      <c r="Q2" s="305"/>
      <c r="R2" s="305"/>
      <c r="S2" s="305"/>
      <c r="T2" s="305"/>
      <c r="U2" s="305"/>
      <c r="V2" s="305"/>
      <c r="W2" s="305"/>
      <c r="X2" s="305"/>
      <c r="Y2" s="305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499</v>
      </c>
      <c r="K3" s="17" t="s">
        <v>500</v>
      </c>
      <c r="L3" s="17" t="s">
        <v>501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499</v>
      </c>
      <c r="X3" s="17" t="s">
        <v>500</v>
      </c>
      <c r="Y3" s="17" t="s">
        <v>501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115.04</v>
      </c>
      <c r="D5" s="19">
        <f>C7</f>
        <v>111.39323200000001</v>
      </c>
      <c r="E5" s="19">
        <f t="shared" ref="E5:I5" si="0">D7</f>
        <v>107.74646400000002</v>
      </c>
      <c r="F5" s="19">
        <f t="shared" si="0"/>
        <v>104.09969600000002</v>
      </c>
      <c r="G5" s="19">
        <f t="shared" si="0"/>
        <v>100.45292800000003</v>
      </c>
      <c r="H5" s="19">
        <f t="shared" si="0"/>
        <v>96.806160000000034</v>
      </c>
      <c r="I5" s="19">
        <f t="shared" si="0"/>
        <v>93.15939200000004</v>
      </c>
      <c r="J5" s="19">
        <f t="shared" ref="J5" si="1">I7</f>
        <v>89.512624000000045</v>
      </c>
      <c r="K5" s="19">
        <f t="shared" ref="K5" si="2">J7</f>
        <v>85.865856000000051</v>
      </c>
      <c r="L5" s="19">
        <f t="shared" ref="L5" si="3">K7</f>
        <v>82.219088000000056</v>
      </c>
      <c r="O5" s="6" t="s">
        <v>45</v>
      </c>
      <c r="P5" s="19">
        <f>C5</f>
        <v>115.04</v>
      </c>
      <c r="Q5" s="19">
        <f>P7</f>
        <v>103.536</v>
      </c>
      <c r="R5" s="19">
        <f t="shared" ref="R5:V5" si="4">Q7</f>
        <v>93.182400000000001</v>
      </c>
      <c r="S5" s="19">
        <f t="shared" si="4"/>
        <v>83.864159999999998</v>
      </c>
      <c r="T5" s="19">
        <f t="shared" si="4"/>
        <v>75.477744000000001</v>
      </c>
      <c r="U5" s="19">
        <f t="shared" si="4"/>
        <v>67.929969600000007</v>
      </c>
      <c r="V5" s="19">
        <f t="shared" si="4"/>
        <v>61.136972640000003</v>
      </c>
      <c r="W5" s="19">
        <f t="shared" ref="W5" si="5">V7</f>
        <v>55.023275376000001</v>
      </c>
      <c r="X5" s="19">
        <f t="shared" ref="X5" si="6">W7</f>
        <v>49.520947838399998</v>
      </c>
      <c r="Y5" s="19">
        <f t="shared" ref="Y5" si="7">X7</f>
        <v>44.568853054559995</v>
      </c>
    </row>
    <row r="6" spans="2:25" x14ac:dyDescent="0.25">
      <c r="B6" s="6" t="s">
        <v>46</v>
      </c>
      <c r="C6" s="19">
        <f>C5*3.17%</f>
        <v>3.6467680000000002</v>
      </c>
      <c r="D6" s="19">
        <f>C6</f>
        <v>3.6467680000000002</v>
      </c>
      <c r="E6" s="19">
        <f t="shared" ref="E6:I6" si="8">D6</f>
        <v>3.6467680000000002</v>
      </c>
      <c r="F6" s="19">
        <f t="shared" si="8"/>
        <v>3.6467680000000002</v>
      </c>
      <c r="G6" s="19">
        <f t="shared" si="8"/>
        <v>3.6467680000000002</v>
      </c>
      <c r="H6" s="19">
        <f t="shared" si="8"/>
        <v>3.6467680000000002</v>
      </c>
      <c r="I6" s="19">
        <f t="shared" si="8"/>
        <v>3.6467680000000002</v>
      </c>
      <c r="J6" s="19">
        <f t="shared" ref="J6" si="9">I6</f>
        <v>3.6467680000000002</v>
      </c>
      <c r="K6" s="19">
        <f t="shared" ref="K6" si="10">J6</f>
        <v>3.6467680000000002</v>
      </c>
      <c r="L6" s="19">
        <f t="shared" ref="L6" si="11">K6</f>
        <v>3.6467680000000002</v>
      </c>
      <c r="O6" s="1" t="s">
        <v>47</v>
      </c>
      <c r="P6" s="19">
        <f>P5*10%</f>
        <v>11.504000000000001</v>
      </c>
      <c r="Q6" s="19">
        <f>Q5*10%</f>
        <v>10.3536</v>
      </c>
      <c r="R6" s="19">
        <f t="shared" ref="R6:V6" si="12">R5*10%</f>
        <v>9.3182400000000012</v>
      </c>
      <c r="S6" s="19">
        <f t="shared" si="12"/>
        <v>8.3864160000000005</v>
      </c>
      <c r="T6" s="19">
        <f t="shared" si="12"/>
        <v>7.5477744000000007</v>
      </c>
      <c r="U6" s="19">
        <f t="shared" si="12"/>
        <v>6.7929969600000009</v>
      </c>
      <c r="V6" s="19">
        <f t="shared" si="12"/>
        <v>6.1136972640000007</v>
      </c>
      <c r="W6" s="19">
        <f t="shared" ref="W6:Y6" si="13">W5*10%</f>
        <v>5.5023275376000003</v>
      </c>
      <c r="X6" s="19">
        <f t="shared" si="13"/>
        <v>4.9520947838399998</v>
      </c>
      <c r="Y6" s="19">
        <f t="shared" si="13"/>
        <v>4.4568853054559998</v>
      </c>
    </row>
    <row r="7" spans="2:25" x14ac:dyDescent="0.25">
      <c r="B7" s="6" t="s">
        <v>48</v>
      </c>
      <c r="C7" s="19">
        <f>C5-C6</f>
        <v>111.39323200000001</v>
      </c>
      <c r="D7" s="19">
        <f t="shared" ref="D7:I7" si="14">D5-D6</f>
        <v>107.74646400000002</v>
      </c>
      <c r="E7" s="19">
        <f t="shared" si="14"/>
        <v>104.09969600000002</v>
      </c>
      <c r="F7" s="19">
        <f t="shared" si="14"/>
        <v>100.45292800000003</v>
      </c>
      <c r="G7" s="19">
        <f t="shared" si="14"/>
        <v>96.806160000000034</v>
      </c>
      <c r="H7" s="19">
        <f t="shared" si="14"/>
        <v>93.15939200000004</v>
      </c>
      <c r="I7" s="19">
        <f t="shared" si="14"/>
        <v>89.512624000000045</v>
      </c>
      <c r="J7" s="19">
        <f t="shared" ref="J7:L7" si="15">J5-J6</f>
        <v>85.865856000000051</v>
      </c>
      <c r="K7" s="19">
        <f t="shared" si="15"/>
        <v>82.219088000000056</v>
      </c>
      <c r="L7" s="19">
        <f t="shared" si="15"/>
        <v>78.572320000000062</v>
      </c>
      <c r="O7" s="6" t="s">
        <v>48</v>
      </c>
      <c r="P7" s="19">
        <f t="shared" ref="P7:V7" si="16">P5-P6</f>
        <v>103.536</v>
      </c>
      <c r="Q7" s="19">
        <f t="shared" si="16"/>
        <v>93.182400000000001</v>
      </c>
      <c r="R7" s="19">
        <f t="shared" si="16"/>
        <v>83.864159999999998</v>
      </c>
      <c r="S7" s="19">
        <f t="shared" si="16"/>
        <v>75.477744000000001</v>
      </c>
      <c r="T7" s="19">
        <f t="shared" si="16"/>
        <v>67.929969600000007</v>
      </c>
      <c r="U7" s="19">
        <f t="shared" si="16"/>
        <v>61.136972640000003</v>
      </c>
      <c r="V7" s="19">
        <f t="shared" si="16"/>
        <v>55.023275376000001</v>
      </c>
      <c r="W7" s="19">
        <f t="shared" ref="W7:Y7" si="17">W5-W6</f>
        <v>49.520947838399998</v>
      </c>
      <c r="X7" s="19">
        <f t="shared" si="17"/>
        <v>44.568853054559995</v>
      </c>
      <c r="Y7" s="19">
        <f t="shared" si="17"/>
        <v>40.111967749103997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105.38000000000001</v>
      </c>
      <c r="D10" s="19">
        <f>C12</f>
        <v>98.709446000000014</v>
      </c>
      <c r="E10" s="19">
        <f t="shared" ref="E10:I10" si="18">D12</f>
        <v>92.038892000000018</v>
      </c>
      <c r="F10" s="19">
        <f t="shared" si="18"/>
        <v>85.368338000000023</v>
      </c>
      <c r="G10" s="19">
        <f t="shared" si="18"/>
        <v>78.697784000000027</v>
      </c>
      <c r="H10" s="19">
        <f t="shared" si="18"/>
        <v>72.027230000000031</v>
      </c>
      <c r="I10" s="19">
        <f t="shared" si="18"/>
        <v>65.356676000000036</v>
      </c>
      <c r="J10" s="19">
        <f t="shared" ref="J10" si="19">I12</f>
        <v>58.686122000000033</v>
      </c>
      <c r="K10" s="19">
        <f t="shared" ref="K10" si="20">J12</f>
        <v>52.01556800000003</v>
      </c>
      <c r="L10" s="19">
        <f t="shared" ref="L10" si="21">K12</f>
        <v>45.345014000000027</v>
      </c>
      <c r="O10" s="21" t="s">
        <v>50</v>
      </c>
      <c r="P10" s="19">
        <f>C10</f>
        <v>105.38000000000001</v>
      </c>
      <c r="Q10" s="19">
        <f>P12</f>
        <v>89.573000000000008</v>
      </c>
      <c r="R10" s="19">
        <f t="shared" ref="R10:V10" si="22">Q12</f>
        <v>76.137050000000002</v>
      </c>
      <c r="S10" s="19">
        <f t="shared" si="22"/>
        <v>64.716492500000001</v>
      </c>
      <c r="T10" s="19">
        <f t="shared" si="22"/>
        <v>55.009018625000003</v>
      </c>
      <c r="U10" s="19">
        <f t="shared" si="22"/>
        <v>46.757665831250002</v>
      </c>
      <c r="V10" s="19">
        <f t="shared" si="22"/>
        <v>39.7440159565625</v>
      </c>
      <c r="W10" s="19">
        <f t="shared" ref="W10" si="23">V12</f>
        <v>33.782413563078123</v>
      </c>
      <c r="X10" s="19">
        <f t="shared" ref="X10" si="24">W12</f>
        <v>28.715051528616407</v>
      </c>
      <c r="Y10" s="19">
        <f t="shared" ref="Y10" si="25">X12</f>
        <v>24.407793799323947</v>
      </c>
    </row>
    <row r="11" spans="2:25" x14ac:dyDescent="0.25">
      <c r="B11" s="21" t="s">
        <v>51</v>
      </c>
      <c r="C11" s="19">
        <f>C10*6.33%</f>
        <v>6.6705540000000001</v>
      </c>
      <c r="D11" s="19">
        <f>C11</f>
        <v>6.6705540000000001</v>
      </c>
      <c r="E11" s="19">
        <f t="shared" ref="E11:I11" si="26">D11</f>
        <v>6.6705540000000001</v>
      </c>
      <c r="F11" s="19">
        <f t="shared" si="26"/>
        <v>6.6705540000000001</v>
      </c>
      <c r="G11" s="19">
        <f t="shared" si="26"/>
        <v>6.6705540000000001</v>
      </c>
      <c r="H11" s="19">
        <f t="shared" si="26"/>
        <v>6.6705540000000001</v>
      </c>
      <c r="I11" s="19">
        <f t="shared" si="26"/>
        <v>6.6705540000000001</v>
      </c>
      <c r="J11" s="19">
        <f t="shared" ref="J11" si="27">I11</f>
        <v>6.6705540000000001</v>
      </c>
      <c r="K11" s="19">
        <f t="shared" ref="K11" si="28">J11</f>
        <v>6.6705540000000001</v>
      </c>
      <c r="L11" s="19">
        <f t="shared" ref="L11" si="29">K11</f>
        <v>6.6705540000000001</v>
      </c>
      <c r="O11" s="21" t="s">
        <v>52</v>
      </c>
      <c r="P11" s="19">
        <f>P10*15%</f>
        <v>15.807</v>
      </c>
      <c r="Q11" s="19">
        <f t="shared" ref="Q11:V11" si="30">Q10*15%</f>
        <v>13.43595</v>
      </c>
      <c r="R11" s="19">
        <f t="shared" si="30"/>
        <v>11.420557499999999</v>
      </c>
      <c r="S11" s="19">
        <f t="shared" si="30"/>
        <v>9.7074738749999998</v>
      </c>
      <c r="T11" s="19">
        <f t="shared" si="30"/>
        <v>8.2513527937499997</v>
      </c>
      <c r="U11" s="19">
        <f t="shared" si="30"/>
        <v>7.0136498746875002</v>
      </c>
      <c r="V11" s="19">
        <f t="shared" si="30"/>
        <v>5.9616023934843749</v>
      </c>
      <c r="W11" s="19">
        <f t="shared" ref="W11:Y11" si="31">W10*15%</f>
        <v>5.0673620344617181</v>
      </c>
      <c r="X11" s="19">
        <f t="shared" si="31"/>
        <v>4.307257729292461</v>
      </c>
      <c r="Y11" s="19">
        <f t="shared" si="31"/>
        <v>3.6611690698985919</v>
      </c>
    </row>
    <row r="12" spans="2:25" x14ac:dyDescent="0.25">
      <c r="B12" s="6" t="s">
        <v>48</v>
      </c>
      <c r="C12" s="19">
        <f>C10-C11</f>
        <v>98.709446000000014</v>
      </c>
      <c r="D12" s="19">
        <f t="shared" ref="D12:I12" si="32">D10-D11</f>
        <v>92.038892000000018</v>
      </c>
      <c r="E12" s="19">
        <f t="shared" si="32"/>
        <v>85.368338000000023</v>
      </c>
      <c r="F12" s="19">
        <f t="shared" si="32"/>
        <v>78.697784000000027</v>
      </c>
      <c r="G12" s="19">
        <f t="shared" si="32"/>
        <v>72.027230000000031</v>
      </c>
      <c r="H12" s="19">
        <f t="shared" si="32"/>
        <v>65.356676000000036</v>
      </c>
      <c r="I12" s="19">
        <f t="shared" si="32"/>
        <v>58.686122000000033</v>
      </c>
      <c r="J12" s="19">
        <f t="shared" ref="J12:L12" si="33">J10-J11</f>
        <v>52.01556800000003</v>
      </c>
      <c r="K12" s="19">
        <f t="shared" si="33"/>
        <v>45.345014000000027</v>
      </c>
      <c r="L12" s="19">
        <f t="shared" si="33"/>
        <v>38.674460000000025</v>
      </c>
      <c r="O12" s="6" t="s">
        <v>48</v>
      </c>
      <c r="P12" s="19">
        <f t="shared" ref="P12:V12" si="34">P10-P11</f>
        <v>89.573000000000008</v>
      </c>
      <c r="Q12" s="19">
        <f t="shared" si="34"/>
        <v>76.137050000000002</v>
      </c>
      <c r="R12" s="19">
        <f t="shared" si="34"/>
        <v>64.716492500000001</v>
      </c>
      <c r="S12" s="19">
        <f t="shared" si="34"/>
        <v>55.009018625000003</v>
      </c>
      <c r="T12" s="19">
        <f t="shared" si="34"/>
        <v>46.757665831250002</v>
      </c>
      <c r="U12" s="19">
        <f t="shared" si="34"/>
        <v>39.7440159565625</v>
      </c>
      <c r="V12" s="19">
        <f t="shared" si="34"/>
        <v>33.782413563078123</v>
      </c>
      <c r="W12" s="19">
        <f t="shared" ref="W12:Y12" si="35">W10-W11</f>
        <v>28.715051528616407</v>
      </c>
      <c r="X12" s="19">
        <f t="shared" si="35"/>
        <v>24.407793799323947</v>
      </c>
      <c r="Y12" s="19">
        <f t="shared" si="35"/>
        <v>20.746624729425356</v>
      </c>
    </row>
    <row r="13" spans="2:25" s="352" customFormat="1" x14ac:dyDescent="0.25">
      <c r="B13" s="350"/>
      <c r="C13" s="351"/>
      <c r="D13" s="351"/>
      <c r="E13" s="351"/>
      <c r="F13" s="351"/>
      <c r="G13" s="351"/>
      <c r="H13" s="351"/>
      <c r="I13" s="350"/>
      <c r="J13" s="350"/>
      <c r="K13" s="350"/>
      <c r="L13" s="350"/>
      <c r="O13" s="350"/>
      <c r="P13" s="351"/>
      <c r="Q13" s="351"/>
      <c r="R13" s="351"/>
      <c r="S13" s="351"/>
      <c r="T13" s="351"/>
      <c r="U13" s="350"/>
      <c r="V13" s="350"/>
      <c r="W13" s="350"/>
      <c r="X13" s="350"/>
      <c r="Y13" s="350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220.42000000000002</v>
      </c>
      <c r="D19" s="22">
        <f t="shared" ref="D19:I21" si="54">D5+D10+D15</f>
        <v>210.10267800000003</v>
      </c>
      <c r="E19" s="22">
        <f t="shared" si="54"/>
        <v>199.78535600000004</v>
      </c>
      <c r="F19" s="22">
        <f t="shared" si="54"/>
        <v>189.46803400000005</v>
      </c>
      <c r="G19" s="22">
        <f t="shared" si="54"/>
        <v>179.15071200000006</v>
      </c>
      <c r="H19" s="22">
        <f t="shared" si="54"/>
        <v>168.83339000000007</v>
      </c>
      <c r="I19" s="22">
        <f t="shared" si="54"/>
        <v>158.51606800000008</v>
      </c>
      <c r="J19" s="22">
        <f t="shared" ref="J19:L19" si="55">J5+J10+J15</f>
        <v>148.19874600000009</v>
      </c>
      <c r="K19" s="22">
        <f t="shared" si="55"/>
        <v>137.8814240000001</v>
      </c>
      <c r="L19" s="22">
        <f t="shared" si="55"/>
        <v>127.56410200000008</v>
      </c>
      <c r="O19" s="20" t="s">
        <v>56</v>
      </c>
      <c r="P19" s="22">
        <f>P5+P10+P15</f>
        <v>220.42000000000002</v>
      </c>
      <c r="Q19" s="22">
        <f t="shared" ref="Q19:V21" si="56">Q5+Q10+Q15</f>
        <v>193.10900000000001</v>
      </c>
      <c r="R19" s="22">
        <f t="shared" si="56"/>
        <v>169.31945000000002</v>
      </c>
      <c r="S19" s="22">
        <f t="shared" si="56"/>
        <v>148.58065249999999</v>
      </c>
      <c r="T19" s="22">
        <f t="shared" si="56"/>
        <v>130.48676262500001</v>
      </c>
      <c r="U19" s="22">
        <f t="shared" si="56"/>
        <v>114.68763543125002</v>
      </c>
      <c r="V19" s="22">
        <f t="shared" si="56"/>
        <v>100.8809885965625</v>
      </c>
      <c r="W19" s="22">
        <f t="shared" ref="W19:Y19" si="57">W5+W10+W15</f>
        <v>88.805688939078124</v>
      </c>
      <c r="X19" s="22">
        <f t="shared" si="57"/>
        <v>78.235999367016404</v>
      </c>
      <c r="Y19" s="22">
        <f t="shared" si="57"/>
        <v>68.976646853883949</v>
      </c>
    </row>
    <row r="20" spans="2:25" x14ac:dyDescent="0.25">
      <c r="B20" s="20" t="s">
        <v>57</v>
      </c>
      <c r="C20" s="22">
        <f t="shared" ref="C20:G21" si="58">C6+C11+C16</f>
        <v>10.317322000000001</v>
      </c>
      <c r="D20" s="22">
        <f t="shared" si="58"/>
        <v>10.317322000000001</v>
      </c>
      <c r="E20" s="22">
        <f t="shared" si="58"/>
        <v>10.317322000000001</v>
      </c>
      <c r="F20" s="22">
        <f t="shared" si="58"/>
        <v>10.317322000000001</v>
      </c>
      <c r="G20" s="22">
        <f t="shared" si="58"/>
        <v>10.317322000000001</v>
      </c>
      <c r="H20" s="22">
        <f t="shared" si="54"/>
        <v>10.317322000000001</v>
      </c>
      <c r="I20" s="22">
        <f t="shared" si="54"/>
        <v>10.317322000000001</v>
      </c>
      <c r="J20" s="22">
        <f t="shared" ref="J20:L20" si="59">J6+J11+J16</f>
        <v>10.317322000000001</v>
      </c>
      <c r="K20" s="22">
        <f t="shared" si="59"/>
        <v>10.317322000000001</v>
      </c>
      <c r="L20" s="22">
        <f t="shared" si="59"/>
        <v>10.317322000000001</v>
      </c>
      <c r="O20" s="20" t="s">
        <v>57</v>
      </c>
      <c r="P20" s="22">
        <f t="shared" ref="P20:T21" si="60">P6+P11+P16</f>
        <v>27.311</v>
      </c>
      <c r="Q20" s="22">
        <f t="shared" si="60"/>
        <v>23.789549999999998</v>
      </c>
      <c r="R20" s="22">
        <f t="shared" si="60"/>
        <v>20.7387975</v>
      </c>
      <c r="S20" s="22">
        <f t="shared" si="60"/>
        <v>18.093889875000002</v>
      </c>
      <c r="T20" s="22">
        <f t="shared" si="60"/>
        <v>15.79912719375</v>
      </c>
      <c r="U20" s="22">
        <f t="shared" si="56"/>
        <v>13.806646834687502</v>
      </c>
      <c r="V20" s="22">
        <f t="shared" si="56"/>
        <v>12.075299657484376</v>
      </c>
      <c r="W20" s="22">
        <f t="shared" ref="W20:Y20" si="61">W6+W11+W16</f>
        <v>10.569689572061719</v>
      </c>
      <c r="X20" s="22">
        <f t="shared" si="61"/>
        <v>9.2593525131324608</v>
      </c>
      <c r="Y20" s="22">
        <f t="shared" si="61"/>
        <v>8.1180543753545926</v>
      </c>
    </row>
    <row r="21" spans="2:25" x14ac:dyDescent="0.25">
      <c r="B21" s="8" t="s">
        <v>48</v>
      </c>
      <c r="C21" s="22">
        <f t="shared" si="58"/>
        <v>210.10267800000003</v>
      </c>
      <c r="D21" s="22">
        <f t="shared" si="58"/>
        <v>199.78535600000004</v>
      </c>
      <c r="E21" s="22">
        <f t="shared" si="58"/>
        <v>189.46803400000005</v>
      </c>
      <c r="F21" s="22">
        <f t="shared" si="58"/>
        <v>179.15071200000006</v>
      </c>
      <c r="G21" s="22">
        <f t="shared" si="58"/>
        <v>168.83339000000007</v>
      </c>
      <c r="H21" s="22">
        <f t="shared" si="54"/>
        <v>158.51606800000008</v>
      </c>
      <c r="I21" s="22">
        <f t="shared" si="54"/>
        <v>148.19874600000009</v>
      </c>
      <c r="J21" s="22">
        <f t="shared" ref="J21:L21" si="62">J7+J12+J17</f>
        <v>137.8814240000001</v>
      </c>
      <c r="K21" s="22">
        <f t="shared" si="62"/>
        <v>127.56410200000008</v>
      </c>
      <c r="L21" s="22">
        <f t="shared" si="62"/>
        <v>117.24678000000009</v>
      </c>
      <c r="O21" s="8" t="s">
        <v>48</v>
      </c>
      <c r="P21" s="22">
        <f t="shared" si="60"/>
        <v>193.10900000000001</v>
      </c>
      <c r="Q21" s="22">
        <f t="shared" si="60"/>
        <v>169.31945000000002</v>
      </c>
      <c r="R21" s="22">
        <f t="shared" si="60"/>
        <v>148.58065249999999</v>
      </c>
      <c r="S21" s="22">
        <f t="shared" si="60"/>
        <v>130.48676262500001</v>
      </c>
      <c r="T21" s="22">
        <f t="shared" si="60"/>
        <v>114.68763543125002</v>
      </c>
      <c r="U21" s="22">
        <f t="shared" si="56"/>
        <v>100.8809885965625</v>
      </c>
      <c r="V21" s="22">
        <f t="shared" si="56"/>
        <v>88.805688939078124</v>
      </c>
      <c r="W21" s="22">
        <f t="shared" ref="W21:Y21" si="63">W7+W12+W17</f>
        <v>78.235999367016404</v>
      </c>
      <c r="X21" s="22">
        <f t="shared" si="63"/>
        <v>68.976646853883949</v>
      </c>
      <c r="Y21" s="22">
        <f t="shared" si="63"/>
        <v>60.858592478529353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23" zoomScale="80" zoomScaleNormal="100" zoomScaleSheetLayoutView="80" workbookViewId="0">
      <selection activeCell="B37" sqref="B37:K37"/>
    </sheetView>
  </sheetViews>
  <sheetFormatPr defaultRowHeight="15" x14ac:dyDescent="0.25"/>
  <cols>
    <col min="1" max="1" width="53.140625" style="1" bestFit="1" customWidth="1"/>
    <col min="2" max="7" width="9.140625" style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3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2" t="s">
        <v>499</v>
      </c>
      <c r="J1" s="222" t="s">
        <v>500</v>
      </c>
      <c r="K1" s="222" t="s">
        <v>501</v>
      </c>
    </row>
    <row r="2" spans="1:13" x14ac:dyDescent="0.25">
      <c r="A2" s="28"/>
      <c r="B2" s="29"/>
      <c r="C2" s="29"/>
      <c r="D2" s="29"/>
      <c r="E2" s="29"/>
      <c r="F2" s="29"/>
      <c r="G2" s="29"/>
      <c r="H2" s="29"/>
      <c r="I2" s="220"/>
      <c r="J2" s="220"/>
      <c r="K2" s="220"/>
    </row>
    <row r="3" spans="1:13" x14ac:dyDescent="0.25">
      <c r="A3" s="30" t="s">
        <v>660</v>
      </c>
      <c r="B3" s="27"/>
      <c r="C3" s="27"/>
      <c r="D3" s="27"/>
      <c r="E3" s="27"/>
      <c r="F3" s="27"/>
      <c r="G3" s="27"/>
      <c r="H3" s="27"/>
      <c r="I3" s="220"/>
      <c r="J3" s="220"/>
      <c r="K3" s="220"/>
    </row>
    <row r="4" spans="1:13" x14ac:dyDescent="0.25">
      <c r="A4" s="26" t="s">
        <v>59</v>
      </c>
      <c r="B4" s="306" t="s">
        <v>640</v>
      </c>
      <c r="C4" s="307"/>
      <c r="D4" s="307"/>
      <c r="E4" s="307"/>
      <c r="F4" s="307"/>
      <c r="G4" s="307"/>
      <c r="H4" s="307"/>
      <c r="I4" s="307"/>
      <c r="J4" s="307"/>
      <c r="K4" s="308"/>
    </row>
    <row r="5" spans="1:13" x14ac:dyDescent="0.25">
      <c r="A5" s="26" t="s">
        <v>60</v>
      </c>
      <c r="B5" s="31">
        <f>4*8*250</f>
        <v>8000</v>
      </c>
      <c r="C5" s="31">
        <f t="shared" ref="C5:K5" si="0">4*8*250</f>
        <v>8000</v>
      </c>
      <c r="D5" s="31">
        <f t="shared" si="0"/>
        <v>8000</v>
      </c>
      <c r="E5" s="31">
        <f t="shared" si="0"/>
        <v>8000</v>
      </c>
      <c r="F5" s="31">
        <f t="shared" si="0"/>
        <v>8000</v>
      </c>
      <c r="G5" s="31">
        <f t="shared" si="0"/>
        <v>8000</v>
      </c>
      <c r="H5" s="31">
        <f t="shared" si="0"/>
        <v>8000</v>
      </c>
      <c r="I5" s="31">
        <f t="shared" si="0"/>
        <v>8000</v>
      </c>
      <c r="J5" s="31">
        <f t="shared" si="0"/>
        <v>8000</v>
      </c>
      <c r="K5" s="31">
        <f t="shared" si="0"/>
        <v>8000</v>
      </c>
    </row>
    <row r="6" spans="1:13" x14ac:dyDescent="0.25">
      <c r="A6" s="26" t="s">
        <v>670</v>
      </c>
      <c r="B6" s="31">
        <f>B5*0.9</f>
        <v>7200</v>
      </c>
      <c r="C6" s="31">
        <f t="shared" ref="C6:K6" si="1">C5*0.9</f>
        <v>7200</v>
      </c>
      <c r="D6" s="31">
        <f t="shared" si="1"/>
        <v>7200</v>
      </c>
      <c r="E6" s="31">
        <f t="shared" si="1"/>
        <v>7200</v>
      </c>
      <c r="F6" s="31">
        <f t="shared" si="1"/>
        <v>7200</v>
      </c>
      <c r="G6" s="31">
        <f t="shared" si="1"/>
        <v>7200</v>
      </c>
      <c r="H6" s="31">
        <f t="shared" si="1"/>
        <v>7200</v>
      </c>
      <c r="I6" s="31">
        <f t="shared" si="1"/>
        <v>7200</v>
      </c>
      <c r="J6" s="31">
        <f t="shared" si="1"/>
        <v>7200</v>
      </c>
      <c r="K6" s="31">
        <f t="shared" si="1"/>
        <v>7200</v>
      </c>
    </row>
    <row r="7" spans="1:13" x14ac:dyDescent="0.25">
      <c r="A7" s="26" t="s">
        <v>671</v>
      </c>
      <c r="B7" s="31">
        <f>B5*0.1</f>
        <v>800</v>
      </c>
      <c r="C7" s="31">
        <f t="shared" ref="C7:K7" si="2">C5*0.1</f>
        <v>800</v>
      </c>
      <c r="D7" s="31">
        <f t="shared" si="2"/>
        <v>800</v>
      </c>
      <c r="E7" s="31">
        <f t="shared" si="2"/>
        <v>800</v>
      </c>
      <c r="F7" s="31">
        <f t="shared" si="2"/>
        <v>800</v>
      </c>
      <c r="G7" s="31">
        <f t="shared" si="2"/>
        <v>800</v>
      </c>
      <c r="H7" s="31">
        <f t="shared" si="2"/>
        <v>800</v>
      </c>
      <c r="I7" s="31">
        <f t="shared" si="2"/>
        <v>800</v>
      </c>
      <c r="J7" s="31">
        <f t="shared" si="2"/>
        <v>800</v>
      </c>
      <c r="K7" s="31">
        <f t="shared" si="2"/>
        <v>800</v>
      </c>
    </row>
    <row r="8" spans="1:13" x14ac:dyDescent="0.25">
      <c r="A8" s="26" t="s">
        <v>160</v>
      </c>
      <c r="B8" s="32">
        <v>0.5</v>
      </c>
      <c r="C8" s="286">
        <f>B8+5%</f>
        <v>0.55000000000000004</v>
      </c>
      <c r="D8" s="286">
        <f t="shared" ref="D8" si="3">C8+5%</f>
        <v>0.60000000000000009</v>
      </c>
      <c r="E8" s="286">
        <f t="shared" ref="E8:K8" si="4">D8+5%</f>
        <v>0.65000000000000013</v>
      </c>
      <c r="F8" s="286">
        <f t="shared" si="4"/>
        <v>0.70000000000000018</v>
      </c>
      <c r="G8" s="286">
        <f t="shared" si="4"/>
        <v>0.75000000000000022</v>
      </c>
      <c r="H8" s="286">
        <f t="shared" si="4"/>
        <v>0.80000000000000027</v>
      </c>
      <c r="I8" s="286">
        <f t="shared" si="4"/>
        <v>0.85000000000000031</v>
      </c>
      <c r="J8" s="286">
        <f t="shared" si="4"/>
        <v>0.90000000000000036</v>
      </c>
      <c r="K8" s="286">
        <f t="shared" si="4"/>
        <v>0.9500000000000004</v>
      </c>
    </row>
    <row r="9" spans="1:13" x14ac:dyDescent="0.25">
      <c r="A9" s="26" t="s">
        <v>161</v>
      </c>
      <c r="B9" s="32">
        <v>0.5</v>
      </c>
      <c r="C9" s="286">
        <f>B9+5%</f>
        <v>0.55000000000000004</v>
      </c>
      <c r="D9" s="286">
        <f t="shared" ref="D9" si="5">C9+5%</f>
        <v>0.60000000000000009</v>
      </c>
      <c r="E9" s="286">
        <f t="shared" ref="E9:K9" si="6">D9+5%</f>
        <v>0.65000000000000013</v>
      </c>
      <c r="F9" s="286">
        <f t="shared" si="6"/>
        <v>0.70000000000000018</v>
      </c>
      <c r="G9" s="286">
        <f t="shared" si="6"/>
        <v>0.75000000000000022</v>
      </c>
      <c r="H9" s="286">
        <f t="shared" si="6"/>
        <v>0.80000000000000027</v>
      </c>
      <c r="I9" s="286">
        <f t="shared" si="6"/>
        <v>0.85000000000000031</v>
      </c>
      <c r="J9" s="286">
        <f t="shared" si="6"/>
        <v>0.90000000000000036</v>
      </c>
      <c r="K9" s="286">
        <f t="shared" si="6"/>
        <v>0.9500000000000004</v>
      </c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x14ac:dyDescent="0.25">
      <c r="A11" s="8" t="s">
        <v>162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x14ac:dyDescent="0.25">
      <c r="A12" s="6" t="s">
        <v>641</v>
      </c>
      <c r="B12" s="6">
        <f>B6*B8</f>
        <v>3600</v>
      </c>
      <c r="C12" s="6">
        <f t="shared" ref="C12:K12" si="7">C6*C8</f>
        <v>3960.0000000000005</v>
      </c>
      <c r="D12" s="6">
        <f t="shared" si="7"/>
        <v>4320.0000000000009</v>
      </c>
      <c r="E12" s="6">
        <f t="shared" si="7"/>
        <v>4680.0000000000009</v>
      </c>
      <c r="F12" s="6">
        <f t="shared" si="7"/>
        <v>5040.0000000000009</v>
      </c>
      <c r="G12" s="6">
        <f t="shared" si="7"/>
        <v>5400.0000000000018</v>
      </c>
      <c r="H12" s="6">
        <f t="shared" si="7"/>
        <v>5760.0000000000018</v>
      </c>
      <c r="I12" s="6">
        <f t="shared" si="7"/>
        <v>6120.0000000000018</v>
      </c>
      <c r="J12" s="6">
        <f t="shared" si="7"/>
        <v>6480.0000000000027</v>
      </c>
      <c r="K12" s="6">
        <f t="shared" si="7"/>
        <v>6840.0000000000027</v>
      </c>
    </row>
    <row r="13" spans="1:13" x14ac:dyDescent="0.25">
      <c r="A13" s="33" t="s">
        <v>61</v>
      </c>
      <c r="B13" s="288">
        <v>1000</v>
      </c>
      <c r="C13" s="9">
        <f t="shared" ref="C13:H13" si="8">ROUND(B13*1.05,0)</f>
        <v>1050</v>
      </c>
      <c r="D13" s="9">
        <f t="shared" si="8"/>
        <v>1103</v>
      </c>
      <c r="E13" s="9">
        <f t="shared" si="8"/>
        <v>1158</v>
      </c>
      <c r="F13" s="9">
        <f t="shared" si="8"/>
        <v>1216</v>
      </c>
      <c r="G13" s="9">
        <f t="shared" si="8"/>
        <v>1277</v>
      </c>
      <c r="H13" s="9">
        <f t="shared" si="8"/>
        <v>1341</v>
      </c>
      <c r="I13" s="9">
        <f t="shared" ref="I13" si="9">ROUND(H13*1.05,0)</f>
        <v>1408</v>
      </c>
      <c r="J13" s="9">
        <f t="shared" ref="J13" si="10">ROUND(I13*1.05,0)</f>
        <v>1478</v>
      </c>
      <c r="K13" s="9">
        <f t="shared" ref="K13" si="11">ROUND(J13*1.05,0)</f>
        <v>1552</v>
      </c>
      <c r="M13" s="25"/>
    </row>
    <row r="14" spans="1:13" x14ac:dyDescent="0.25">
      <c r="A14" s="34" t="s">
        <v>73</v>
      </c>
      <c r="B14" s="35">
        <f>B12*B13/100000</f>
        <v>36</v>
      </c>
      <c r="C14" s="35">
        <f t="shared" ref="C14:K14" si="12">C12*C13/100000</f>
        <v>41.580000000000005</v>
      </c>
      <c r="D14" s="35">
        <f t="shared" si="12"/>
        <v>47.649600000000007</v>
      </c>
      <c r="E14" s="35">
        <f t="shared" si="12"/>
        <v>54.194400000000009</v>
      </c>
      <c r="F14" s="35">
        <f t="shared" si="12"/>
        <v>61.286400000000008</v>
      </c>
      <c r="G14" s="35">
        <f t="shared" si="12"/>
        <v>68.958000000000013</v>
      </c>
      <c r="H14" s="35">
        <f t="shared" si="12"/>
        <v>77.241600000000034</v>
      </c>
      <c r="I14" s="35">
        <f t="shared" si="12"/>
        <v>86.169600000000017</v>
      </c>
      <c r="J14" s="35">
        <f t="shared" si="12"/>
        <v>95.774400000000043</v>
      </c>
      <c r="K14" s="35">
        <f t="shared" si="12"/>
        <v>106.15680000000003</v>
      </c>
    </row>
    <row r="15" spans="1:13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3" x14ac:dyDescent="0.25">
      <c r="A16" s="34" t="s">
        <v>163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641</v>
      </c>
      <c r="B17" s="6">
        <f>B7*B9</f>
        <v>400</v>
      </c>
      <c r="C17" s="6">
        <f t="shared" ref="C17:K17" si="13">C7*C9</f>
        <v>440.00000000000006</v>
      </c>
      <c r="D17" s="6">
        <f t="shared" si="13"/>
        <v>480.00000000000006</v>
      </c>
      <c r="E17" s="6">
        <f t="shared" si="13"/>
        <v>520.00000000000011</v>
      </c>
      <c r="F17" s="6">
        <f t="shared" si="13"/>
        <v>560.00000000000011</v>
      </c>
      <c r="G17" s="6">
        <f t="shared" si="13"/>
        <v>600.00000000000023</v>
      </c>
      <c r="H17" s="6">
        <f t="shared" si="13"/>
        <v>640.00000000000023</v>
      </c>
      <c r="I17" s="6">
        <f t="shared" si="13"/>
        <v>680.00000000000023</v>
      </c>
      <c r="J17" s="6">
        <f t="shared" si="13"/>
        <v>720.00000000000023</v>
      </c>
      <c r="K17" s="6">
        <f t="shared" si="13"/>
        <v>760.00000000000034</v>
      </c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x14ac:dyDescent="0.25">
      <c r="A20" s="36" t="s">
        <v>566</v>
      </c>
      <c r="B20" s="37">
        <f>B17*$L$20</f>
        <v>200</v>
      </c>
      <c r="C20" s="37">
        <f t="shared" ref="C20:K20" si="14">C17*$L$20</f>
        <v>220.00000000000003</v>
      </c>
      <c r="D20" s="37">
        <f t="shared" si="14"/>
        <v>240.00000000000003</v>
      </c>
      <c r="E20" s="37">
        <f t="shared" si="14"/>
        <v>260.00000000000006</v>
      </c>
      <c r="F20" s="37">
        <f t="shared" si="14"/>
        <v>280.00000000000006</v>
      </c>
      <c r="G20" s="37">
        <f t="shared" si="14"/>
        <v>300.00000000000011</v>
      </c>
      <c r="H20" s="37">
        <f t="shared" si="14"/>
        <v>320.00000000000011</v>
      </c>
      <c r="I20" s="37">
        <f t="shared" si="14"/>
        <v>340.00000000000011</v>
      </c>
      <c r="J20" s="37">
        <f t="shared" si="14"/>
        <v>360.00000000000011</v>
      </c>
      <c r="K20" s="37">
        <f t="shared" si="14"/>
        <v>380.00000000000017</v>
      </c>
      <c r="L20" s="266">
        <v>0.5</v>
      </c>
    </row>
    <row r="21" spans="1:16" x14ac:dyDescent="0.25">
      <c r="A21" s="36" t="s">
        <v>643</v>
      </c>
      <c r="B21" s="37">
        <f>B17*$L$21</f>
        <v>80</v>
      </c>
      <c r="C21" s="37">
        <f t="shared" ref="C21:K21" si="15">C17*$L$21</f>
        <v>88.000000000000014</v>
      </c>
      <c r="D21" s="37">
        <f t="shared" si="15"/>
        <v>96.000000000000014</v>
      </c>
      <c r="E21" s="37">
        <f t="shared" si="15"/>
        <v>104.00000000000003</v>
      </c>
      <c r="F21" s="37">
        <f t="shared" si="15"/>
        <v>112.00000000000003</v>
      </c>
      <c r="G21" s="37">
        <f t="shared" si="15"/>
        <v>120.00000000000006</v>
      </c>
      <c r="H21" s="37">
        <f t="shared" si="15"/>
        <v>128.00000000000006</v>
      </c>
      <c r="I21" s="37">
        <f t="shared" si="15"/>
        <v>136.00000000000006</v>
      </c>
      <c r="J21" s="37">
        <f t="shared" si="15"/>
        <v>144.00000000000006</v>
      </c>
      <c r="K21" s="37">
        <f t="shared" si="15"/>
        <v>152.00000000000009</v>
      </c>
      <c r="L21" s="266">
        <v>0.2</v>
      </c>
    </row>
    <row r="22" spans="1:16" x14ac:dyDescent="0.25">
      <c r="A22" s="36" t="s">
        <v>567</v>
      </c>
      <c r="B22" s="37">
        <f>ROUND(B17*$L$22,0)</f>
        <v>80</v>
      </c>
      <c r="C22" s="37">
        <f t="shared" ref="C22:K22" si="16">ROUND(C17*$L$22,0)</f>
        <v>88</v>
      </c>
      <c r="D22" s="37">
        <f t="shared" si="16"/>
        <v>96</v>
      </c>
      <c r="E22" s="37">
        <f t="shared" si="16"/>
        <v>104</v>
      </c>
      <c r="F22" s="37">
        <f t="shared" si="16"/>
        <v>112</v>
      </c>
      <c r="G22" s="37">
        <f t="shared" si="16"/>
        <v>120</v>
      </c>
      <c r="H22" s="37">
        <f t="shared" si="16"/>
        <v>128</v>
      </c>
      <c r="I22" s="37">
        <f t="shared" si="16"/>
        <v>136</v>
      </c>
      <c r="J22" s="37">
        <f t="shared" si="16"/>
        <v>144</v>
      </c>
      <c r="K22" s="37">
        <f t="shared" si="16"/>
        <v>152</v>
      </c>
      <c r="L22" s="266">
        <v>0.2</v>
      </c>
    </row>
    <row r="23" spans="1:16" x14ac:dyDescent="0.25">
      <c r="A23" s="36" t="s">
        <v>644</v>
      </c>
      <c r="B23" s="37">
        <f>B17*$L$23</f>
        <v>32</v>
      </c>
      <c r="C23" s="37">
        <f t="shared" ref="C23:K23" si="17">C17*$L$23</f>
        <v>35.200000000000003</v>
      </c>
      <c r="D23" s="37">
        <f t="shared" si="17"/>
        <v>38.400000000000006</v>
      </c>
      <c r="E23" s="37">
        <f t="shared" si="17"/>
        <v>41.600000000000009</v>
      </c>
      <c r="F23" s="37">
        <f t="shared" si="17"/>
        <v>44.800000000000011</v>
      </c>
      <c r="G23" s="37">
        <f t="shared" si="17"/>
        <v>48.000000000000021</v>
      </c>
      <c r="H23" s="37">
        <f t="shared" si="17"/>
        <v>51.200000000000017</v>
      </c>
      <c r="I23" s="37">
        <f t="shared" si="17"/>
        <v>54.40000000000002</v>
      </c>
      <c r="J23" s="37">
        <f t="shared" si="17"/>
        <v>57.600000000000023</v>
      </c>
      <c r="K23" s="37">
        <f t="shared" si="17"/>
        <v>60.800000000000026</v>
      </c>
      <c r="L23" s="266">
        <v>0.08</v>
      </c>
    </row>
    <row r="24" spans="1:16" hidden="1" x14ac:dyDescent="0.25">
      <c r="A24" s="36" t="s">
        <v>63</v>
      </c>
      <c r="B24" s="37">
        <v>0</v>
      </c>
      <c r="C24" s="37">
        <f t="shared" ref="C24:H24" si="18">C12*$L$24</f>
        <v>0</v>
      </c>
      <c r="D24" s="37">
        <f t="shared" si="18"/>
        <v>0</v>
      </c>
      <c r="E24" s="37">
        <f t="shared" si="18"/>
        <v>0</v>
      </c>
      <c r="F24" s="37">
        <f t="shared" si="18"/>
        <v>0</v>
      </c>
      <c r="G24" s="37">
        <f t="shared" si="18"/>
        <v>0</v>
      </c>
      <c r="H24" s="37">
        <f t="shared" si="18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164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tr">
        <f>+A20</f>
        <v>Polished Rice</v>
      </c>
      <c r="B27" s="37">
        <f t="shared" ref="B27:K27" si="19">ROUND(B17*$L$27,0)</f>
        <v>200</v>
      </c>
      <c r="C27" s="37">
        <f t="shared" si="19"/>
        <v>220</v>
      </c>
      <c r="D27" s="37">
        <f t="shared" si="19"/>
        <v>240</v>
      </c>
      <c r="E27" s="37">
        <f t="shared" si="19"/>
        <v>260</v>
      </c>
      <c r="F27" s="37">
        <f t="shared" si="19"/>
        <v>280</v>
      </c>
      <c r="G27" s="37">
        <f t="shared" si="19"/>
        <v>300</v>
      </c>
      <c r="H27" s="37">
        <f t="shared" si="19"/>
        <v>320</v>
      </c>
      <c r="I27" s="37">
        <f t="shared" si="19"/>
        <v>340</v>
      </c>
      <c r="J27" s="37">
        <f t="shared" si="19"/>
        <v>360</v>
      </c>
      <c r="K27" s="37">
        <f t="shared" si="19"/>
        <v>380</v>
      </c>
      <c r="L27" s="266">
        <v>0.5</v>
      </c>
      <c r="M27" s="25">
        <v>50000</v>
      </c>
      <c r="N27" s="25">
        <f>M27*L27</f>
        <v>25000</v>
      </c>
    </row>
    <row r="28" spans="1:16" x14ac:dyDescent="0.25">
      <c r="A28" s="36" t="str">
        <f>+A21</f>
        <v>Husk</v>
      </c>
      <c r="B28" s="37">
        <f t="shared" ref="B28:K28" si="20">ROUND(B17*$L$28,0)</f>
        <v>80</v>
      </c>
      <c r="C28" s="37">
        <f t="shared" si="20"/>
        <v>88</v>
      </c>
      <c r="D28" s="37">
        <f t="shared" si="20"/>
        <v>96</v>
      </c>
      <c r="E28" s="37">
        <f t="shared" si="20"/>
        <v>104</v>
      </c>
      <c r="F28" s="37">
        <f t="shared" si="20"/>
        <v>112</v>
      </c>
      <c r="G28" s="37">
        <f t="shared" si="20"/>
        <v>120</v>
      </c>
      <c r="H28" s="37">
        <f t="shared" si="20"/>
        <v>128</v>
      </c>
      <c r="I28" s="37">
        <f t="shared" si="20"/>
        <v>136</v>
      </c>
      <c r="J28" s="37">
        <f t="shared" si="20"/>
        <v>144</v>
      </c>
      <c r="K28" s="37">
        <f t="shared" si="20"/>
        <v>152</v>
      </c>
      <c r="L28" s="266">
        <v>0.2</v>
      </c>
      <c r="M28" s="25">
        <v>14000</v>
      </c>
      <c r="N28" s="25">
        <f t="shared" ref="N28:N30" si="21">M28*L28</f>
        <v>2800</v>
      </c>
    </row>
    <row r="29" spans="1:16" x14ac:dyDescent="0.25">
      <c r="A29" s="36" t="str">
        <f>+A22</f>
        <v>Broken</v>
      </c>
      <c r="B29" s="37">
        <f>ROUND(B17*$L$29,0)</f>
        <v>80</v>
      </c>
      <c r="C29" s="37">
        <f t="shared" ref="C29:K29" si="22">ROUND(C17*$L$29,0)</f>
        <v>88</v>
      </c>
      <c r="D29" s="37">
        <f t="shared" si="22"/>
        <v>96</v>
      </c>
      <c r="E29" s="37">
        <f t="shared" si="22"/>
        <v>104</v>
      </c>
      <c r="F29" s="37">
        <f t="shared" si="22"/>
        <v>112</v>
      </c>
      <c r="G29" s="37">
        <f t="shared" si="22"/>
        <v>120</v>
      </c>
      <c r="H29" s="37">
        <f t="shared" si="22"/>
        <v>128</v>
      </c>
      <c r="I29" s="37">
        <f t="shared" si="22"/>
        <v>136</v>
      </c>
      <c r="J29" s="37">
        <f t="shared" si="22"/>
        <v>144</v>
      </c>
      <c r="K29" s="37">
        <f t="shared" si="22"/>
        <v>152</v>
      </c>
      <c r="L29" s="266">
        <v>0.2</v>
      </c>
      <c r="M29" s="25">
        <v>25000</v>
      </c>
      <c r="N29" s="25">
        <f t="shared" si="21"/>
        <v>5000</v>
      </c>
    </row>
    <row r="30" spans="1:16" x14ac:dyDescent="0.25">
      <c r="A30" s="36" t="str">
        <f>+A23</f>
        <v>Bran</v>
      </c>
      <c r="B30" s="37">
        <f t="shared" ref="B30:K30" si="23">ROUND(B17*$L$30,0)</f>
        <v>32</v>
      </c>
      <c r="C30" s="37">
        <f t="shared" si="23"/>
        <v>35</v>
      </c>
      <c r="D30" s="37">
        <f t="shared" si="23"/>
        <v>38</v>
      </c>
      <c r="E30" s="37">
        <f t="shared" si="23"/>
        <v>42</v>
      </c>
      <c r="F30" s="37">
        <f t="shared" si="23"/>
        <v>45</v>
      </c>
      <c r="G30" s="37">
        <f t="shared" si="23"/>
        <v>48</v>
      </c>
      <c r="H30" s="37">
        <f t="shared" si="23"/>
        <v>51</v>
      </c>
      <c r="I30" s="37">
        <f t="shared" si="23"/>
        <v>54</v>
      </c>
      <c r="J30" s="37">
        <f t="shared" si="23"/>
        <v>58</v>
      </c>
      <c r="K30" s="37">
        <f t="shared" si="23"/>
        <v>61</v>
      </c>
      <c r="L30" s="266">
        <v>0.08</v>
      </c>
      <c r="M30" s="25">
        <v>12000</v>
      </c>
      <c r="N30" s="25">
        <f t="shared" si="21"/>
        <v>960</v>
      </c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 x14ac:dyDescent="0.25">
      <c r="A32" s="6" t="s">
        <v>642</v>
      </c>
      <c r="B32" s="6">
        <f>4*8</f>
        <v>32</v>
      </c>
      <c r="C32" s="6">
        <f t="shared" ref="C32:K32" si="24">4*8</f>
        <v>32</v>
      </c>
      <c r="D32" s="6">
        <f t="shared" si="24"/>
        <v>32</v>
      </c>
      <c r="E32" s="6">
        <f t="shared" si="24"/>
        <v>32</v>
      </c>
      <c r="F32" s="6">
        <f t="shared" si="24"/>
        <v>32</v>
      </c>
      <c r="G32" s="6">
        <f t="shared" si="24"/>
        <v>32</v>
      </c>
      <c r="H32" s="6">
        <f t="shared" si="24"/>
        <v>32</v>
      </c>
      <c r="I32" s="6">
        <f t="shared" si="24"/>
        <v>32</v>
      </c>
      <c r="J32" s="6">
        <f t="shared" si="24"/>
        <v>32</v>
      </c>
      <c r="K32" s="6">
        <f t="shared" si="24"/>
        <v>32</v>
      </c>
      <c r="N32" s="25">
        <f>SUM(N27:N31)</f>
        <v>33760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36" t="s">
        <v>159</v>
      </c>
      <c r="B34" s="6">
        <f t="shared" ref="B34:K34" si="25">ROUND(B12/B32,0)</f>
        <v>113</v>
      </c>
      <c r="C34" s="6">
        <f t="shared" si="25"/>
        <v>124</v>
      </c>
      <c r="D34" s="6">
        <f t="shared" si="25"/>
        <v>135</v>
      </c>
      <c r="E34" s="6">
        <f t="shared" si="25"/>
        <v>146</v>
      </c>
      <c r="F34" s="6">
        <f t="shared" si="25"/>
        <v>158</v>
      </c>
      <c r="G34" s="6">
        <f t="shared" si="25"/>
        <v>169</v>
      </c>
      <c r="H34" s="6">
        <f t="shared" si="25"/>
        <v>180</v>
      </c>
      <c r="I34" s="6">
        <f t="shared" si="25"/>
        <v>191</v>
      </c>
      <c r="J34" s="6">
        <f t="shared" si="25"/>
        <v>203</v>
      </c>
      <c r="K34" s="6">
        <f t="shared" si="25"/>
        <v>214</v>
      </c>
    </row>
    <row r="35" spans="1:11" x14ac:dyDescent="0.25">
      <c r="A35" s="36" t="s">
        <v>165</v>
      </c>
      <c r="B35" s="6">
        <f t="shared" ref="B35:K35" si="26">ROUND(B17/B32,0)</f>
        <v>13</v>
      </c>
      <c r="C35" s="6">
        <f t="shared" si="26"/>
        <v>14</v>
      </c>
      <c r="D35" s="6">
        <f t="shared" si="26"/>
        <v>15</v>
      </c>
      <c r="E35" s="6">
        <f t="shared" si="26"/>
        <v>16</v>
      </c>
      <c r="F35" s="6">
        <f t="shared" si="26"/>
        <v>18</v>
      </c>
      <c r="G35" s="6">
        <f t="shared" si="26"/>
        <v>19</v>
      </c>
      <c r="H35" s="6">
        <f t="shared" si="26"/>
        <v>20</v>
      </c>
      <c r="I35" s="6">
        <f t="shared" si="26"/>
        <v>21</v>
      </c>
      <c r="J35" s="6">
        <f t="shared" si="26"/>
        <v>23</v>
      </c>
      <c r="K35" s="6">
        <f t="shared" si="26"/>
        <v>24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s="3" customFormat="1" x14ac:dyDescent="0.25">
      <c r="A37" s="8" t="s">
        <v>166</v>
      </c>
      <c r="B37" s="8">
        <f>B34+B35</f>
        <v>126</v>
      </c>
      <c r="C37" s="8">
        <f t="shared" ref="C37:K37" si="27">C34+C35</f>
        <v>138</v>
      </c>
      <c r="D37" s="8">
        <f t="shared" si="27"/>
        <v>150</v>
      </c>
      <c r="E37" s="8">
        <f t="shared" si="27"/>
        <v>162</v>
      </c>
      <c r="F37" s="8">
        <f t="shared" si="27"/>
        <v>176</v>
      </c>
      <c r="G37" s="8">
        <f t="shared" si="27"/>
        <v>188</v>
      </c>
      <c r="H37" s="8">
        <f t="shared" si="27"/>
        <v>200</v>
      </c>
      <c r="I37" s="8">
        <f t="shared" si="27"/>
        <v>212</v>
      </c>
      <c r="J37" s="8">
        <f t="shared" si="27"/>
        <v>226</v>
      </c>
      <c r="K37" s="8">
        <f t="shared" si="27"/>
        <v>238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topLeftCell="A4" zoomScale="85" zoomScaleNormal="100" zoomScaleSheetLayoutView="85" workbookViewId="0">
      <selection activeCell="B11" sqref="B11"/>
    </sheetView>
  </sheetViews>
  <sheetFormatPr defaultRowHeight="15" x14ac:dyDescent="0.25"/>
  <cols>
    <col min="1" max="1" width="54.85546875" style="1" bestFit="1" customWidth="1"/>
    <col min="2" max="3" width="15.42578125" style="1" bestFit="1" customWidth="1"/>
    <col min="4" max="4" width="14.85546875" style="1" bestFit="1" customWidth="1"/>
    <col min="5" max="11" width="15.42578125" style="1" bestFit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2" t="s">
        <v>41</v>
      </c>
      <c r="H2" s="222" t="s">
        <v>42</v>
      </c>
      <c r="I2" s="222" t="s">
        <v>499</v>
      </c>
      <c r="J2" s="222" t="s">
        <v>500</v>
      </c>
      <c r="K2" s="222" t="s">
        <v>501</v>
      </c>
    </row>
    <row r="3" spans="1:11" x14ac:dyDescent="0.25">
      <c r="A3" s="26" t="s">
        <v>65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639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66</v>
      </c>
      <c r="B5" s="36">
        <v>0</v>
      </c>
      <c r="C5" s="36">
        <f>B8</f>
        <v>17</v>
      </c>
      <c r="D5" s="36">
        <f>C8</f>
        <v>18</v>
      </c>
      <c r="E5" s="36">
        <f>D8</f>
        <v>20</v>
      </c>
      <c r="F5" s="36">
        <f>E8</f>
        <v>22</v>
      </c>
      <c r="G5" s="36">
        <f t="shared" ref="G5:H5" si="0">F8</f>
        <v>23</v>
      </c>
      <c r="H5" s="36">
        <f t="shared" si="0"/>
        <v>25</v>
      </c>
      <c r="I5" s="36">
        <f t="shared" ref="I5" si="1">H8</f>
        <v>27</v>
      </c>
      <c r="J5" s="36">
        <f t="shared" ref="J5" si="2">I8</f>
        <v>28</v>
      </c>
      <c r="K5" s="36">
        <f t="shared" ref="K5" si="3">J8</f>
        <v>30</v>
      </c>
    </row>
    <row r="6" spans="1:11" x14ac:dyDescent="0.25">
      <c r="A6" s="36" t="s">
        <v>67</v>
      </c>
      <c r="B6" s="37">
        <f>SUM(B7:B8)-B5</f>
        <v>417</v>
      </c>
      <c r="C6" s="37">
        <f>SUM(C7:C8)-C5</f>
        <v>441.00000000000006</v>
      </c>
      <c r="D6" s="37">
        <f t="shared" ref="D6:K6" si="4">SUM(D7:D8)-D5</f>
        <v>482.00000000000006</v>
      </c>
      <c r="E6" s="37">
        <f t="shared" si="4"/>
        <v>522.00000000000011</v>
      </c>
      <c r="F6" s="37">
        <f t="shared" si="4"/>
        <v>561.00000000000011</v>
      </c>
      <c r="G6" s="37">
        <f t="shared" si="4"/>
        <v>602.00000000000023</v>
      </c>
      <c r="H6" s="37">
        <f t="shared" si="4"/>
        <v>642.00000000000023</v>
      </c>
      <c r="I6" s="37">
        <f t="shared" si="4"/>
        <v>681.00000000000023</v>
      </c>
      <c r="J6" s="37">
        <f t="shared" si="4"/>
        <v>722.00000000000023</v>
      </c>
      <c r="K6" s="37">
        <f t="shared" si="4"/>
        <v>762.00000000000034</v>
      </c>
    </row>
    <row r="7" spans="1:11" x14ac:dyDescent="0.25">
      <c r="A7" s="36" t="s">
        <v>68</v>
      </c>
      <c r="B7" s="37">
        <f>'Output Schedule'!B17</f>
        <v>400</v>
      </c>
      <c r="C7" s="37">
        <f>'Output Schedule'!C17</f>
        <v>440.00000000000006</v>
      </c>
      <c r="D7" s="37">
        <f>'Output Schedule'!D17</f>
        <v>480.00000000000006</v>
      </c>
      <c r="E7" s="37">
        <f>'Output Schedule'!E17</f>
        <v>520.00000000000011</v>
      </c>
      <c r="F7" s="37">
        <f>'Output Schedule'!F17</f>
        <v>560.00000000000011</v>
      </c>
      <c r="G7" s="37">
        <f>'Output Schedule'!G17</f>
        <v>600.00000000000023</v>
      </c>
      <c r="H7" s="37">
        <f>'Output Schedule'!H17</f>
        <v>640.00000000000023</v>
      </c>
      <c r="I7" s="37">
        <f>'Output Schedule'!I17</f>
        <v>680.00000000000023</v>
      </c>
      <c r="J7" s="37">
        <f>'Output Schedule'!J17</f>
        <v>720.00000000000023</v>
      </c>
      <c r="K7" s="37">
        <f>'Output Schedule'!K17</f>
        <v>760.00000000000034</v>
      </c>
    </row>
    <row r="8" spans="1:11" x14ac:dyDescent="0.25">
      <c r="A8" s="36" t="s">
        <v>69</v>
      </c>
      <c r="B8" s="36">
        <f>ROUND(B7/24,0)</f>
        <v>17</v>
      </c>
      <c r="C8" s="36">
        <f t="shared" ref="C8:K8" si="5">ROUND(C7/24,0)</f>
        <v>18</v>
      </c>
      <c r="D8" s="36">
        <f t="shared" si="5"/>
        <v>20</v>
      </c>
      <c r="E8" s="36">
        <f t="shared" si="5"/>
        <v>22</v>
      </c>
      <c r="F8" s="36">
        <f t="shared" si="5"/>
        <v>23</v>
      </c>
      <c r="G8" s="36">
        <f t="shared" si="5"/>
        <v>25</v>
      </c>
      <c r="H8" s="36">
        <f t="shared" si="5"/>
        <v>27</v>
      </c>
      <c r="I8" s="36">
        <f t="shared" si="5"/>
        <v>28</v>
      </c>
      <c r="J8" s="36">
        <f t="shared" si="5"/>
        <v>30</v>
      </c>
      <c r="K8" s="36">
        <f t="shared" si="5"/>
        <v>32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458</v>
      </c>
      <c r="B11" s="9">
        <v>22000</v>
      </c>
      <c r="C11" s="45">
        <f>ROUND(B11*1.05,-1)</f>
        <v>23100</v>
      </c>
      <c r="D11" s="45">
        <f t="shared" ref="D11:K11" si="6">ROUND(C11*1.05,-1)</f>
        <v>24260</v>
      </c>
      <c r="E11" s="45">
        <f t="shared" si="6"/>
        <v>25470</v>
      </c>
      <c r="F11" s="45">
        <f t="shared" si="6"/>
        <v>26740</v>
      </c>
      <c r="G11" s="45">
        <f t="shared" si="6"/>
        <v>28080</v>
      </c>
      <c r="H11" s="45">
        <f t="shared" si="6"/>
        <v>29480</v>
      </c>
      <c r="I11" s="45">
        <f t="shared" si="6"/>
        <v>30950</v>
      </c>
      <c r="J11" s="45">
        <f t="shared" si="6"/>
        <v>32500</v>
      </c>
      <c r="K11" s="45">
        <f t="shared" si="6"/>
        <v>34130</v>
      </c>
    </row>
    <row r="12" spans="1:11" s="40" customFormat="1" ht="30" hidden="1" x14ac:dyDescent="0.25">
      <c r="A12" s="187" t="s">
        <v>457</v>
      </c>
      <c r="B12" s="35">
        <f>B11</f>
        <v>22000</v>
      </c>
      <c r="C12" s="35">
        <f t="shared" ref="C12:H12" si="7">C11</f>
        <v>23100</v>
      </c>
      <c r="D12" s="35">
        <f t="shared" si="7"/>
        <v>24260</v>
      </c>
      <c r="E12" s="35">
        <f t="shared" si="7"/>
        <v>25470</v>
      </c>
      <c r="F12" s="35">
        <f t="shared" si="7"/>
        <v>26740</v>
      </c>
      <c r="G12" s="35">
        <f t="shared" si="7"/>
        <v>28080</v>
      </c>
      <c r="H12" s="35">
        <f t="shared" si="7"/>
        <v>29480</v>
      </c>
      <c r="I12" s="35">
        <f t="shared" ref="I12" si="8">I11</f>
        <v>30950</v>
      </c>
      <c r="J12" s="35">
        <f t="shared" ref="J12" si="9">J11</f>
        <v>32500</v>
      </c>
      <c r="K12" s="35">
        <f t="shared" ref="K12" si="10">K11</f>
        <v>34130</v>
      </c>
    </row>
    <row r="13" spans="1:1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6" t="s">
        <v>71</v>
      </c>
      <c r="B15" s="41">
        <v>0</v>
      </c>
      <c r="C15" s="41">
        <f>B16</f>
        <v>3.74</v>
      </c>
      <c r="D15" s="41">
        <f>C16</f>
        <v>4.1580000000000004</v>
      </c>
      <c r="E15" s="41">
        <f t="shared" ref="E15:H15" si="11">D16</f>
        <v>4.8520000000000003</v>
      </c>
      <c r="F15" s="41">
        <f t="shared" si="11"/>
        <v>5.6033999999999997</v>
      </c>
      <c r="G15" s="41">
        <f t="shared" si="11"/>
        <v>6.1501999999999999</v>
      </c>
      <c r="H15" s="41">
        <f t="shared" si="11"/>
        <v>7.02</v>
      </c>
      <c r="I15" s="41">
        <f t="shared" ref="I15" si="12">H16</f>
        <v>7.9596</v>
      </c>
      <c r="J15" s="41">
        <f t="shared" ref="J15" si="13">I16</f>
        <v>8.6660000000000004</v>
      </c>
      <c r="K15" s="41">
        <f t="shared" ref="K15" si="14">J16</f>
        <v>9.75</v>
      </c>
    </row>
    <row r="16" spans="1:11" x14ac:dyDescent="0.25">
      <c r="A16" s="26" t="s">
        <v>72</v>
      </c>
      <c r="B16" s="41">
        <f>B12*B8/100000</f>
        <v>3.74</v>
      </c>
      <c r="C16" s="41">
        <f t="shared" ref="C16:H16" si="15">C12*C8/100000</f>
        <v>4.1580000000000004</v>
      </c>
      <c r="D16" s="41">
        <f t="shared" si="15"/>
        <v>4.8520000000000003</v>
      </c>
      <c r="E16" s="41">
        <f t="shared" si="15"/>
        <v>5.6033999999999997</v>
      </c>
      <c r="F16" s="41">
        <f t="shared" si="15"/>
        <v>6.1501999999999999</v>
      </c>
      <c r="G16" s="41">
        <f t="shared" si="15"/>
        <v>7.02</v>
      </c>
      <c r="H16" s="41">
        <f t="shared" si="15"/>
        <v>7.9596</v>
      </c>
      <c r="I16" s="41">
        <f t="shared" ref="I16:K16" si="16">I12*I8/100000</f>
        <v>8.6660000000000004</v>
      </c>
      <c r="J16" s="41">
        <f t="shared" si="16"/>
        <v>9.75</v>
      </c>
      <c r="K16" s="41">
        <f t="shared" si="16"/>
        <v>10.9216</v>
      </c>
    </row>
    <row r="18" spans="3:8" x14ac:dyDescent="0.25">
      <c r="C18" s="25"/>
      <c r="D18" s="25"/>
      <c r="E18" s="25"/>
      <c r="F18" s="25"/>
      <c r="G18" s="25"/>
      <c r="H18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activeCell="B4" sqref="B4"/>
    </sheetView>
  </sheetViews>
  <sheetFormatPr defaultRowHeight="15" x14ac:dyDescent="0.25"/>
  <cols>
    <col min="1" max="1" width="31.85546875" bestFit="1" customWidth="1"/>
    <col min="2" max="3" width="12.28515625" bestFit="1" customWidth="1"/>
    <col min="4" max="4" width="11.85546875" bestFit="1" customWidth="1"/>
    <col min="5" max="6" width="12.28515625" bestFit="1" customWidth="1"/>
    <col min="7" max="7" width="12.5703125" bestFit="1" customWidth="1"/>
    <col min="8" max="8" width="13" bestFit="1" customWidth="1"/>
    <col min="9" max="10" width="13.42578125" bestFit="1" customWidth="1"/>
    <col min="11" max="11" width="13" bestFit="1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22" t="s">
        <v>42</v>
      </c>
      <c r="I1" s="222" t="s">
        <v>499</v>
      </c>
      <c r="J1" s="222" t="s">
        <v>500</v>
      </c>
      <c r="K1" s="222" t="s">
        <v>501</v>
      </c>
    </row>
    <row r="2" spans="1:11" x14ac:dyDescent="0.25">
      <c r="A2" s="26"/>
      <c r="B2" s="27"/>
      <c r="C2" s="27"/>
      <c r="D2" s="27"/>
      <c r="E2" s="27"/>
      <c r="F2" s="27"/>
      <c r="G2" s="27"/>
      <c r="H2" s="220"/>
      <c r="I2" s="18"/>
      <c r="J2" s="18"/>
      <c r="K2" s="18"/>
    </row>
    <row r="3" spans="1:11" x14ac:dyDescent="0.25">
      <c r="A3" s="36" t="s">
        <v>639</v>
      </c>
      <c r="B3" s="36">
        <f>ROUND('CS-RM'!B6,0)</f>
        <v>417</v>
      </c>
      <c r="C3" s="36">
        <f>ROUND('CS-RM'!C6,0)</f>
        <v>441</v>
      </c>
      <c r="D3" s="36">
        <f>ROUND('CS-RM'!D6,0)</f>
        <v>482</v>
      </c>
      <c r="E3" s="36">
        <f>ROUND('CS-RM'!E6,0)</f>
        <v>522</v>
      </c>
      <c r="F3" s="36">
        <f>ROUND('CS-RM'!F6,0)</f>
        <v>561</v>
      </c>
      <c r="G3" s="36">
        <f>ROUND('CS-RM'!G6,0)</f>
        <v>602</v>
      </c>
      <c r="H3" s="36">
        <f>ROUND('CS-RM'!H6,0)</f>
        <v>642</v>
      </c>
      <c r="I3" s="36">
        <f>ROUND('CS-RM'!I6,0)</f>
        <v>681</v>
      </c>
      <c r="J3" s="36">
        <f>ROUND('CS-RM'!J6,0)</f>
        <v>722</v>
      </c>
      <c r="K3" s="36">
        <f>ROUND('CS-RM'!K6,0)</f>
        <v>762</v>
      </c>
    </row>
    <row r="4" spans="1:11" x14ac:dyDescent="0.25">
      <c r="A4" s="36" t="s">
        <v>598</v>
      </c>
      <c r="B4" s="42">
        <f>+'CS-RM'!B11</f>
        <v>22000</v>
      </c>
      <c r="C4" s="42">
        <f>'CS-RM'!C12</f>
        <v>23100</v>
      </c>
      <c r="D4" s="42">
        <f>'CS-RM'!D12</f>
        <v>24260</v>
      </c>
      <c r="E4" s="42">
        <f>'CS-RM'!E12</f>
        <v>25470</v>
      </c>
      <c r="F4" s="42">
        <f>'CS-RM'!F12</f>
        <v>26740</v>
      </c>
      <c r="G4" s="42">
        <f>'CS-RM'!G12</f>
        <v>28080</v>
      </c>
      <c r="H4" s="42">
        <f>'CS-RM'!H12</f>
        <v>29480</v>
      </c>
      <c r="I4" s="42">
        <f>'CS-RM'!I12</f>
        <v>30950</v>
      </c>
      <c r="J4" s="42">
        <f>'CS-RM'!J12</f>
        <v>32500</v>
      </c>
      <c r="K4" s="42">
        <f>'CS-RM'!K12</f>
        <v>34130</v>
      </c>
    </row>
    <row r="5" spans="1:11" x14ac:dyDescent="0.25">
      <c r="A5" s="36"/>
      <c r="B5" s="42"/>
      <c r="C5" s="42"/>
      <c r="D5" s="42"/>
      <c r="E5" s="42"/>
      <c r="F5" s="42"/>
      <c r="G5" s="18"/>
      <c r="H5" s="18"/>
      <c r="I5" s="18"/>
      <c r="J5" s="18"/>
      <c r="K5" s="18"/>
    </row>
    <row r="6" spans="1:11" x14ac:dyDescent="0.25">
      <c r="A6" s="26" t="s">
        <v>76</v>
      </c>
      <c r="B6" s="41">
        <f>B3*B4/100000</f>
        <v>91.74</v>
      </c>
      <c r="C6" s="41">
        <f t="shared" ref="C6:K6" si="0">C3*C4/100000</f>
        <v>101.871</v>
      </c>
      <c r="D6" s="41">
        <f t="shared" si="0"/>
        <v>116.9332</v>
      </c>
      <c r="E6" s="41">
        <f t="shared" si="0"/>
        <v>132.95339999999999</v>
      </c>
      <c r="F6" s="41">
        <f t="shared" si="0"/>
        <v>150.01140000000001</v>
      </c>
      <c r="G6" s="41">
        <f t="shared" si="0"/>
        <v>169.04159999999999</v>
      </c>
      <c r="H6" s="41">
        <f t="shared" si="0"/>
        <v>189.26159999999999</v>
      </c>
      <c r="I6" s="41">
        <f t="shared" si="0"/>
        <v>210.76949999999999</v>
      </c>
      <c r="J6" s="41">
        <f t="shared" si="0"/>
        <v>234.65</v>
      </c>
      <c r="K6" s="41">
        <f t="shared" si="0"/>
        <v>260.07060000000001</v>
      </c>
    </row>
    <row r="8" spans="1:11" hidden="1" x14ac:dyDescent="0.25">
      <c r="B8" s="24">
        <f>B3*'CS-RM'!B11/100000</f>
        <v>91.74</v>
      </c>
      <c r="C8" s="24">
        <f>C3*'CS-RM'!C11/100000</f>
        <v>101.871</v>
      </c>
      <c r="D8" s="24">
        <f>D3*'CS-RM'!D11/100000</f>
        <v>116.9332</v>
      </c>
      <c r="E8" s="24">
        <f>E3*'CS-RM'!E11/100000</f>
        <v>132.95339999999999</v>
      </c>
      <c r="F8" s="24">
        <f>F3*'CS-RM'!F11/100000</f>
        <v>150.01140000000001</v>
      </c>
      <c r="G8" s="24">
        <f>G3*'CS-RM'!G11/100000</f>
        <v>169.04159999999999</v>
      </c>
      <c r="H8" s="24">
        <f>H3*'CS-RM'!H11/100000</f>
        <v>189.26159999999999</v>
      </c>
    </row>
    <row r="9" spans="1:11" hidden="1" x14ac:dyDescent="0.25"/>
    <row r="10" spans="1:11" hidden="1" x14ac:dyDescent="0.25">
      <c r="B10" s="24">
        <f>B8-B6</f>
        <v>0</v>
      </c>
      <c r="C10" s="24">
        <f t="shared" ref="C10:H10" si="1">C8-C6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</row>
    <row r="11" spans="1:11" hidden="1" x14ac:dyDescent="0.25"/>
    <row r="12" spans="1:11" hidden="1" x14ac:dyDescent="0.25">
      <c r="B12" s="24">
        <f>'Production Level Support'!B3</f>
        <v>0</v>
      </c>
      <c r="C12" s="24">
        <f>'Production Level Support'!C3</f>
        <v>0</v>
      </c>
      <c r="D12" s="24">
        <f>'Production Level Support'!D3</f>
        <v>0</v>
      </c>
      <c r="E12" s="24">
        <f>'Production Level Support'!E3</f>
        <v>0</v>
      </c>
      <c r="F12" s="24">
        <f>'Production Level Support'!F3</f>
        <v>0</v>
      </c>
      <c r="G12" s="24">
        <f>'Production Level Support'!G3</f>
        <v>0</v>
      </c>
      <c r="H12" s="24">
        <f>'Production Level Support'!H3</f>
        <v>0</v>
      </c>
    </row>
    <row r="13" spans="1:11" hidden="1" x14ac:dyDescent="0.25"/>
    <row r="14" spans="1:11" hidden="1" x14ac:dyDescent="0.25">
      <c r="B14" s="24">
        <f>B10-B12</f>
        <v>0</v>
      </c>
      <c r="C14" s="24">
        <f t="shared" ref="C14:H14" si="2">C10-C12</f>
        <v>0</v>
      </c>
      <c r="D14" s="24">
        <f t="shared" si="2"/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</row>
    <row r="15" spans="1:11" hidden="1" x14ac:dyDescent="0.25"/>
    <row r="17" spans="2:2" x14ac:dyDescent="0.25">
      <c r="B17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view="pageBreakPreview" topLeftCell="A27" zoomScale="60" zoomScaleNormal="100" workbookViewId="0">
      <selection activeCell="L36" sqref="L36"/>
    </sheetView>
  </sheetViews>
  <sheetFormatPr defaultRowHeight="15" x14ac:dyDescent="0.25"/>
  <cols>
    <col min="1" max="1" width="4" style="1" bestFit="1" customWidth="1"/>
    <col min="2" max="2" width="44.85546875" style="1" bestFit="1" customWidth="1"/>
    <col min="3" max="8" width="12.28515625" style="1" bestFit="1" customWidth="1"/>
    <col min="9" max="9" width="11.85546875" style="1" bestFit="1" customWidth="1"/>
    <col min="10" max="12" width="12.28515625" style="1" bestFit="1" customWidth="1"/>
    <col min="13" max="16384" width="9.140625" style="1"/>
  </cols>
  <sheetData>
    <row r="2" spans="1:12" x14ac:dyDescent="0.25">
      <c r="A2" s="46" t="s">
        <v>77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22" t="s">
        <v>42</v>
      </c>
      <c r="J2" s="222" t="s">
        <v>499</v>
      </c>
      <c r="K2" s="222" t="s">
        <v>500</v>
      </c>
      <c r="L2" s="222" t="s">
        <v>501</v>
      </c>
    </row>
    <row r="3" spans="1:12" x14ac:dyDescent="0.25">
      <c r="A3" s="43"/>
      <c r="B3" s="26" t="s">
        <v>78</v>
      </c>
      <c r="C3" s="27"/>
      <c r="D3" s="27"/>
      <c r="E3" s="27"/>
      <c r="F3" s="27"/>
      <c r="G3" s="27"/>
      <c r="H3" s="27"/>
      <c r="I3" s="220"/>
      <c r="J3" s="6"/>
      <c r="K3" s="6"/>
      <c r="L3" s="6"/>
    </row>
    <row r="4" spans="1:12" x14ac:dyDescent="0.25">
      <c r="A4" s="7" t="s">
        <v>79</v>
      </c>
      <c r="B4" s="26" t="str">
        <f>'Output Schedule'!A27</f>
        <v>Polished Rice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80</v>
      </c>
      <c r="C5" s="36">
        <f>0</f>
        <v>0</v>
      </c>
      <c r="D5" s="36">
        <f>C8</f>
        <v>8</v>
      </c>
      <c r="E5" s="36">
        <f>D8</f>
        <v>10</v>
      </c>
      <c r="F5" s="36">
        <f>E8</f>
        <v>10</v>
      </c>
      <c r="G5" s="36">
        <f>F8</f>
        <v>11</v>
      </c>
      <c r="H5" s="36">
        <f t="shared" ref="H5:I5" si="0">G8</f>
        <v>12</v>
      </c>
      <c r="I5" s="36">
        <f t="shared" si="0"/>
        <v>13</v>
      </c>
      <c r="J5" s="36">
        <f t="shared" ref="J5" si="1">I8</f>
        <v>14</v>
      </c>
      <c r="K5" s="36">
        <f t="shared" ref="K5" si="2">J8</f>
        <v>15</v>
      </c>
      <c r="L5" s="36">
        <f t="shared" ref="L5" si="3">K8</f>
        <v>16</v>
      </c>
    </row>
    <row r="6" spans="1:12" x14ac:dyDescent="0.25">
      <c r="A6" s="43"/>
      <c r="B6" s="36" t="s">
        <v>81</v>
      </c>
      <c r="C6" s="37">
        <f>'Output Schedule'!B27</f>
        <v>200</v>
      </c>
      <c r="D6" s="37">
        <f>'Output Schedule'!C27</f>
        <v>220</v>
      </c>
      <c r="E6" s="37">
        <f>'Output Schedule'!D27</f>
        <v>240</v>
      </c>
      <c r="F6" s="37">
        <f>'Output Schedule'!E27</f>
        <v>260</v>
      </c>
      <c r="G6" s="37">
        <f>'Output Schedule'!F27</f>
        <v>280</v>
      </c>
      <c r="H6" s="37">
        <f>'Output Schedule'!G27</f>
        <v>300</v>
      </c>
      <c r="I6" s="37">
        <f>'Output Schedule'!H27</f>
        <v>320</v>
      </c>
      <c r="J6" s="37">
        <f>'Output Schedule'!I27</f>
        <v>340</v>
      </c>
      <c r="K6" s="37">
        <f>'Output Schedule'!J27</f>
        <v>360</v>
      </c>
      <c r="L6" s="37">
        <f>'Output Schedule'!K27</f>
        <v>380</v>
      </c>
    </row>
    <row r="7" spans="1:12" x14ac:dyDescent="0.25">
      <c r="A7" s="43"/>
      <c r="B7" s="36" t="s">
        <v>82</v>
      </c>
      <c r="C7" s="36">
        <f>C5+C6-C8</f>
        <v>192</v>
      </c>
      <c r="D7" s="36">
        <f>D5+D6-D8</f>
        <v>218</v>
      </c>
      <c r="E7" s="36">
        <f>E5+E6-E8</f>
        <v>240</v>
      </c>
      <c r="F7" s="36">
        <f>F5+F6-F8</f>
        <v>259</v>
      </c>
      <c r="G7" s="36">
        <f>G5+G6-G8</f>
        <v>279</v>
      </c>
      <c r="H7" s="36">
        <f t="shared" ref="H7:I7" si="4">H5+H6-H8</f>
        <v>299</v>
      </c>
      <c r="I7" s="36">
        <f t="shared" si="4"/>
        <v>319</v>
      </c>
      <c r="J7" s="36">
        <f t="shared" ref="J7:L7" si="5">J5+J6-J8</f>
        <v>339</v>
      </c>
      <c r="K7" s="36">
        <f t="shared" si="5"/>
        <v>359</v>
      </c>
      <c r="L7" s="36">
        <f t="shared" si="5"/>
        <v>379</v>
      </c>
    </row>
    <row r="8" spans="1:12" x14ac:dyDescent="0.25">
      <c r="A8" s="43"/>
      <c r="B8" s="36" t="s">
        <v>83</v>
      </c>
      <c r="C8" s="36">
        <f>ROUND((C6+C5)/24,0)</f>
        <v>8</v>
      </c>
      <c r="D8" s="36">
        <f t="shared" ref="D8:L8" si="6">ROUND((D6+D5)/24,0)</f>
        <v>10</v>
      </c>
      <c r="E8" s="36">
        <f t="shared" si="6"/>
        <v>10</v>
      </c>
      <c r="F8" s="36">
        <f t="shared" si="6"/>
        <v>11</v>
      </c>
      <c r="G8" s="36">
        <f t="shared" si="6"/>
        <v>12</v>
      </c>
      <c r="H8" s="36">
        <f t="shared" si="6"/>
        <v>13</v>
      </c>
      <c r="I8" s="36">
        <f t="shared" si="6"/>
        <v>14</v>
      </c>
      <c r="J8" s="36">
        <f t="shared" si="6"/>
        <v>15</v>
      </c>
      <c r="K8" s="36">
        <f t="shared" si="6"/>
        <v>16</v>
      </c>
      <c r="L8" s="36">
        <f t="shared" si="6"/>
        <v>17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84</v>
      </c>
      <c r="B10" s="8" t="str">
        <f>+'Output Schedule'!A28</f>
        <v>Husk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80</v>
      </c>
      <c r="C11" s="36">
        <f>0</f>
        <v>0</v>
      </c>
      <c r="D11" s="36">
        <f>C14</f>
        <v>3</v>
      </c>
      <c r="E11" s="36">
        <f>D14</f>
        <v>4</v>
      </c>
      <c r="F11" s="36">
        <f>E14</f>
        <v>4</v>
      </c>
      <c r="G11" s="36">
        <f>F14</f>
        <v>5</v>
      </c>
      <c r="H11" s="36">
        <f t="shared" ref="H11:I11" si="7">G14</f>
        <v>5</v>
      </c>
      <c r="I11" s="36">
        <f t="shared" si="7"/>
        <v>5</v>
      </c>
      <c r="J11" s="36">
        <f t="shared" ref="J11" si="8">I14</f>
        <v>6</v>
      </c>
      <c r="K11" s="36">
        <f t="shared" ref="K11" si="9">J14</f>
        <v>6</v>
      </c>
      <c r="L11" s="36">
        <f t="shared" ref="L11" si="10">K14</f>
        <v>6</v>
      </c>
    </row>
    <row r="12" spans="1:12" x14ac:dyDescent="0.25">
      <c r="A12" s="6"/>
      <c r="B12" s="36" t="s">
        <v>81</v>
      </c>
      <c r="C12" s="37">
        <f>'Output Schedule'!B28</f>
        <v>80</v>
      </c>
      <c r="D12" s="37">
        <f>'Output Schedule'!C28</f>
        <v>88</v>
      </c>
      <c r="E12" s="37">
        <f>'Output Schedule'!D28</f>
        <v>96</v>
      </c>
      <c r="F12" s="37">
        <f>'Output Schedule'!E28</f>
        <v>104</v>
      </c>
      <c r="G12" s="37">
        <f>'Output Schedule'!F28</f>
        <v>112</v>
      </c>
      <c r="H12" s="37">
        <f>'Output Schedule'!G28</f>
        <v>120</v>
      </c>
      <c r="I12" s="37">
        <f>'Output Schedule'!H28</f>
        <v>128</v>
      </c>
      <c r="J12" s="37">
        <f>'Output Schedule'!I28</f>
        <v>136</v>
      </c>
      <c r="K12" s="37">
        <f>'Output Schedule'!J28</f>
        <v>144</v>
      </c>
      <c r="L12" s="37">
        <f>'Output Schedule'!K28</f>
        <v>152</v>
      </c>
    </row>
    <row r="13" spans="1:12" x14ac:dyDescent="0.25">
      <c r="A13" s="6"/>
      <c r="B13" s="36" t="s">
        <v>82</v>
      </c>
      <c r="C13" s="36">
        <f>C11+C12-C14</f>
        <v>77</v>
      </c>
      <c r="D13" s="36">
        <f>D11+D12-D14</f>
        <v>87</v>
      </c>
      <c r="E13" s="36">
        <f>E11+E12-E14</f>
        <v>96</v>
      </c>
      <c r="F13" s="36">
        <f>F11+F12-F14</f>
        <v>103</v>
      </c>
      <c r="G13" s="36">
        <f>G11+G12-G14</f>
        <v>112</v>
      </c>
      <c r="H13" s="36">
        <f t="shared" ref="H13:I13" si="11">H11+H12-H14</f>
        <v>120</v>
      </c>
      <c r="I13" s="36">
        <f t="shared" si="11"/>
        <v>127</v>
      </c>
      <c r="J13" s="36">
        <f t="shared" ref="J13:L13" si="12">J11+J12-J14</f>
        <v>136</v>
      </c>
      <c r="K13" s="36">
        <f t="shared" si="12"/>
        <v>144</v>
      </c>
      <c r="L13" s="36">
        <f t="shared" si="12"/>
        <v>151</v>
      </c>
    </row>
    <row r="14" spans="1:12" x14ac:dyDescent="0.25">
      <c r="A14" s="6"/>
      <c r="B14" s="36" t="s">
        <v>83</v>
      </c>
      <c r="C14" s="36">
        <f>ROUND((C12+C11)/24,0)</f>
        <v>3</v>
      </c>
      <c r="D14" s="36">
        <f t="shared" ref="D14:L14" si="13">ROUND((D12+D11)/24,0)</f>
        <v>4</v>
      </c>
      <c r="E14" s="36">
        <f t="shared" si="13"/>
        <v>4</v>
      </c>
      <c r="F14" s="36">
        <f t="shared" si="13"/>
        <v>5</v>
      </c>
      <c r="G14" s="36">
        <f t="shared" si="13"/>
        <v>5</v>
      </c>
      <c r="H14" s="36">
        <f t="shared" si="13"/>
        <v>5</v>
      </c>
      <c r="I14" s="36">
        <f t="shared" si="13"/>
        <v>6</v>
      </c>
      <c r="J14" s="36">
        <f t="shared" si="13"/>
        <v>6</v>
      </c>
      <c r="K14" s="36">
        <f t="shared" si="13"/>
        <v>6</v>
      </c>
      <c r="L14" s="36">
        <f t="shared" si="13"/>
        <v>7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 t="s">
        <v>85</v>
      </c>
      <c r="B16" s="26" t="str">
        <f>'Output Schedule'!A29</f>
        <v>Broken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x14ac:dyDescent="0.25">
      <c r="A17" s="6"/>
      <c r="B17" s="36" t="s">
        <v>80</v>
      </c>
      <c r="C17" s="36">
        <f>0</f>
        <v>0</v>
      </c>
      <c r="D17" s="36">
        <f>C20</f>
        <v>3</v>
      </c>
      <c r="E17" s="36">
        <f>D20</f>
        <v>4</v>
      </c>
      <c r="F17" s="36">
        <f>E20</f>
        <v>4</v>
      </c>
      <c r="G17" s="36">
        <f>F20</f>
        <v>5</v>
      </c>
      <c r="H17" s="36">
        <f t="shared" ref="H17:I17" si="14">G20</f>
        <v>5</v>
      </c>
      <c r="I17" s="36">
        <f t="shared" si="14"/>
        <v>5</v>
      </c>
      <c r="J17" s="36">
        <f t="shared" ref="J17" si="15">I20</f>
        <v>6</v>
      </c>
      <c r="K17" s="36">
        <f t="shared" ref="K17" si="16">J20</f>
        <v>6</v>
      </c>
      <c r="L17" s="36">
        <f t="shared" ref="L17" si="17">K20</f>
        <v>6</v>
      </c>
    </row>
    <row r="18" spans="1:12" x14ac:dyDescent="0.25">
      <c r="A18" s="6"/>
      <c r="B18" s="36" t="s">
        <v>81</v>
      </c>
      <c r="C18" s="37">
        <f>'Output Schedule'!B29</f>
        <v>80</v>
      </c>
      <c r="D18" s="37">
        <f>'Output Schedule'!C29</f>
        <v>88</v>
      </c>
      <c r="E18" s="37">
        <f>'Output Schedule'!D29</f>
        <v>96</v>
      </c>
      <c r="F18" s="37">
        <f>'Output Schedule'!E29</f>
        <v>104</v>
      </c>
      <c r="G18" s="37">
        <f>'Output Schedule'!F29</f>
        <v>112</v>
      </c>
      <c r="H18" s="37">
        <f>'Output Schedule'!G29</f>
        <v>120</v>
      </c>
      <c r="I18" s="37">
        <f>'Output Schedule'!H29</f>
        <v>128</v>
      </c>
      <c r="J18" s="37">
        <f>'Output Schedule'!I29</f>
        <v>136</v>
      </c>
      <c r="K18" s="37">
        <f>'Output Schedule'!J29</f>
        <v>144</v>
      </c>
      <c r="L18" s="37">
        <f>'Output Schedule'!K29</f>
        <v>152</v>
      </c>
    </row>
    <row r="19" spans="1:12" x14ac:dyDescent="0.25">
      <c r="A19" s="6"/>
      <c r="B19" s="36" t="s">
        <v>82</v>
      </c>
      <c r="C19" s="36">
        <f>C17+C18-C20</f>
        <v>77</v>
      </c>
      <c r="D19" s="36">
        <f>D17+D18-D20</f>
        <v>87</v>
      </c>
      <c r="E19" s="36">
        <f>E17+E18-E20</f>
        <v>96</v>
      </c>
      <c r="F19" s="36">
        <f>F17+F18-F20</f>
        <v>103</v>
      </c>
      <c r="G19" s="36">
        <f>G17+G18-G20</f>
        <v>112</v>
      </c>
      <c r="H19" s="36">
        <f t="shared" ref="H19:I19" si="18">H17+H18-H20</f>
        <v>120</v>
      </c>
      <c r="I19" s="36">
        <f t="shared" si="18"/>
        <v>127</v>
      </c>
      <c r="J19" s="36">
        <f t="shared" ref="J19:L19" si="19">J17+J18-J20</f>
        <v>136</v>
      </c>
      <c r="K19" s="36">
        <f t="shared" si="19"/>
        <v>144</v>
      </c>
      <c r="L19" s="36">
        <f t="shared" si="19"/>
        <v>151</v>
      </c>
    </row>
    <row r="20" spans="1:12" x14ac:dyDescent="0.25">
      <c r="A20" s="6"/>
      <c r="B20" s="36" t="s">
        <v>83</v>
      </c>
      <c r="C20" s="36">
        <f>ROUND((C18+C17)/24,0)</f>
        <v>3</v>
      </c>
      <c r="D20" s="36">
        <f t="shared" ref="D20:L20" si="20">ROUND((D18+D17)/24,0)</f>
        <v>4</v>
      </c>
      <c r="E20" s="36">
        <f t="shared" si="20"/>
        <v>4</v>
      </c>
      <c r="F20" s="36">
        <f t="shared" si="20"/>
        <v>5</v>
      </c>
      <c r="G20" s="36">
        <f t="shared" si="20"/>
        <v>5</v>
      </c>
      <c r="H20" s="36">
        <f t="shared" si="20"/>
        <v>5</v>
      </c>
      <c r="I20" s="36">
        <f t="shared" si="20"/>
        <v>6</v>
      </c>
      <c r="J20" s="36">
        <f t="shared" si="20"/>
        <v>6</v>
      </c>
      <c r="K20" s="36">
        <f t="shared" si="20"/>
        <v>6</v>
      </c>
      <c r="L20" s="36">
        <f t="shared" si="20"/>
        <v>7</v>
      </c>
    </row>
    <row r="21" spans="1:12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5">
      <c r="A22" s="263" t="s">
        <v>406</v>
      </c>
      <c r="B22" s="26" t="str">
        <f>'Output Schedule'!A30</f>
        <v>Bran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x14ac:dyDescent="0.25">
      <c r="A23" s="6"/>
      <c r="B23" s="36" t="s">
        <v>80</v>
      </c>
      <c r="C23" s="36">
        <f>0</f>
        <v>0</v>
      </c>
      <c r="D23" s="36">
        <f>C26</f>
        <v>1</v>
      </c>
      <c r="E23" s="36">
        <f>D26</f>
        <v>1</v>
      </c>
      <c r="F23" s="36">
        <f>E26</f>
        <v>2</v>
      </c>
      <c r="G23" s="36">
        <f>F26</f>
        <v>2</v>
      </c>
      <c r="H23" s="36">
        <f t="shared" ref="H23" si="21">G26</f>
        <v>2</v>
      </c>
      <c r="I23" s="36">
        <f t="shared" ref="I23" si="22">H26</f>
        <v>2</v>
      </c>
      <c r="J23" s="36">
        <f t="shared" ref="J23" si="23">I26</f>
        <v>2</v>
      </c>
      <c r="K23" s="36">
        <f t="shared" ref="K23" si="24">J26</f>
        <v>2</v>
      </c>
      <c r="L23" s="36">
        <f t="shared" ref="L23" si="25">K26</f>
        <v>2</v>
      </c>
    </row>
    <row r="24" spans="1:12" x14ac:dyDescent="0.25">
      <c r="A24" s="6"/>
      <c r="B24" s="36" t="s">
        <v>81</v>
      </c>
      <c r="C24" s="37">
        <f>'Output Schedule'!B30</f>
        <v>32</v>
      </c>
      <c r="D24" s="37">
        <f>'Output Schedule'!C30</f>
        <v>35</v>
      </c>
      <c r="E24" s="37">
        <f>'Output Schedule'!D30</f>
        <v>38</v>
      </c>
      <c r="F24" s="37">
        <f>'Output Schedule'!E30</f>
        <v>42</v>
      </c>
      <c r="G24" s="37">
        <f>'Output Schedule'!F30</f>
        <v>45</v>
      </c>
      <c r="H24" s="37">
        <f>'Output Schedule'!G30</f>
        <v>48</v>
      </c>
      <c r="I24" s="37">
        <f>'Output Schedule'!H30</f>
        <v>51</v>
      </c>
      <c r="J24" s="37">
        <f>'Output Schedule'!I30</f>
        <v>54</v>
      </c>
      <c r="K24" s="37">
        <f>'Output Schedule'!J30</f>
        <v>58</v>
      </c>
      <c r="L24" s="37">
        <f>'Output Schedule'!K30</f>
        <v>61</v>
      </c>
    </row>
    <row r="25" spans="1:12" x14ac:dyDescent="0.25">
      <c r="A25" s="6"/>
      <c r="B25" s="36" t="s">
        <v>82</v>
      </c>
      <c r="C25" s="36">
        <f>C23+C24-C26</f>
        <v>31</v>
      </c>
      <c r="D25" s="36">
        <f>D23+D24-D26</f>
        <v>35</v>
      </c>
      <c r="E25" s="36">
        <f>E23+E24-E26</f>
        <v>37</v>
      </c>
      <c r="F25" s="36">
        <f>F23+F24-F26</f>
        <v>42</v>
      </c>
      <c r="G25" s="36">
        <f>G23+G24-G26</f>
        <v>45</v>
      </c>
      <c r="H25" s="36">
        <f t="shared" ref="H25:L25" si="26">H23+H24-H26</f>
        <v>48</v>
      </c>
      <c r="I25" s="36">
        <f t="shared" si="26"/>
        <v>51</v>
      </c>
      <c r="J25" s="36">
        <f t="shared" si="26"/>
        <v>54</v>
      </c>
      <c r="K25" s="36">
        <f t="shared" si="26"/>
        <v>58</v>
      </c>
      <c r="L25" s="36">
        <f t="shared" si="26"/>
        <v>60</v>
      </c>
    </row>
    <row r="26" spans="1:12" x14ac:dyDescent="0.25">
      <c r="A26" s="6"/>
      <c r="B26" s="36" t="s">
        <v>83</v>
      </c>
      <c r="C26" s="36">
        <f>ROUND(C24/24,0)</f>
        <v>1</v>
      </c>
      <c r="D26" s="36">
        <f t="shared" ref="D26:L26" si="27">ROUND(D24/24,0)</f>
        <v>1</v>
      </c>
      <c r="E26" s="36">
        <f t="shared" si="27"/>
        <v>2</v>
      </c>
      <c r="F26" s="36">
        <f t="shared" si="27"/>
        <v>2</v>
      </c>
      <c r="G26" s="36">
        <f t="shared" si="27"/>
        <v>2</v>
      </c>
      <c r="H26" s="36">
        <f t="shared" si="27"/>
        <v>2</v>
      </c>
      <c r="I26" s="36">
        <f t="shared" si="27"/>
        <v>2</v>
      </c>
      <c r="J26" s="36">
        <f t="shared" si="27"/>
        <v>2</v>
      </c>
      <c r="K26" s="36">
        <f t="shared" si="27"/>
        <v>2</v>
      </c>
      <c r="L26" s="36">
        <f t="shared" si="27"/>
        <v>3</v>
      </c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26" t="s">
        <v>86</v>
      </c>
      <c r="C28" s="3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43" t="s">
        <v>79</v>
      </c>
      <c r="B29" s="33" t="str">
        <f>+B4</f>
        <v>Polished Rice</v>
      </c>
      <c r="C29" s="42">
        <v>45000</v>
      </c>
      <c r="D29" s="45">
        <f>ROUND(C29*1.05,-1)</f>
        <v>47250</v>
      </c>
      <c r="E29" s="45">
        <f t="shared" ref="E29:L29" si="28">ROUND(D29*1.05,-1)</f>
        <v>49610</v>
      </c>
      <c r="F29" s="45">
        <f t="shared" si="28"/>
        <v>52090</v>
      </c>
      <c r="G29" s="45">
        <f t="shared" si="28"/>
        <v>54690</v>
      </c>
      <c r="H29" s="45">
        <f t="shared" si="28"/>
        <v>57420</v>
      </c>
      <c r="I29" s="45">
        <f t="shared" si="28"/>
        <v>60290</v>
      </c>
      <c r="J29" s="45">
        <f t="shared" si="28"/>
        <v>63300</v>
      </c>
      <c r="K29" s="45">
        <f t="shared" si="28"/>
        <v>66470</v>
      </c>
      <c r="L29" s="45">
        <f t="shared" si="28"/>
        <v>69790</v>
      </c>
    </row>
    <row r="30" spans="1:12" x14ac:dyDescent="0.25">
      <c r="A30" s="43" t="s">
        <v>84</v>
      </c>
      <c r="B30" s="33" t="str">
        <f>B10</f>
        <v>Husk</v>
      </c>
      <c r="C30" s="42">
        <v>1000</v>
      </c>
      <c r="D30" s="45">
        <f>ROUND(C30*1.05,-1)</f>
        <v>1050</v>
      </c>
      <c r="E30" s="45">
        <f t="shared" ref="E30:L30" si="29">ROUND(D30*1.05,-1)</f>
        <v>1100</v>
      </c>
      <c r="F30" s="45">
        <f t="shared" si="29"/>
        <v>1160</v>
      </c>
      <c r="G30" s="45">
        <f t="shared" si="29"/>
        <v>1220</v>
      </c>
      <c r="H30" s="45">
        <f t="shared" si="29"/>
        <v>1280</v>
      </c>
      <c r="I30" s="45">
        <f t="shared" si="29"/>
        <v>1340</v>
      </c>
      <c r="J30" s="45">
        <f t="shared" si="29"/>
        <v>1410</v>
      </c>
      <c r="K30" s="45">
        <f t="shared" si="29"/>
        <v>1480</v>
      </c>
      <c r="L30" s="45">
        <f t="shared" si="29"/>
        <v>1550</v>
      </c>
    </row>
    <row r="31" spans="1:12" x14ac:dyDescent="0.25">
      <c r="A31" s="43" t="s">
        <v>85</v>
      </c>
      <c r="B31" s="33" t="str">
        <f>B16</f>
        <v>Broken</v>
      </c>
      <c r="C31" s="42">
        <v>22000</v>
      </c>
      <c r="D31" s="45">
        <f>ROUND(C31*1.05,-1)</f>
        <v>23100</v>
      </c>
      <c r="E31" s="45">
        <f t="shared" ref="E31:L31" si="30">ROUND(D31*1.05,-1)</f>
        <v>24260</v>
      </c>
      <c r="F31" s="45">
        <f t="shared" si="30"/>
        <v>25470</v>
      </c>
      <c r="G31" s="45">
        <f t="shared" si="30"/>
        <v>26740</v>
      </c>
      <c r="H31" s="45">
        <f t="shared" si="30"/>
        <v>28080</v>
      </c>
      <c r="I31" s="45">
        <f t="shared" si="30"/>
        <v>29480</v>
      </c>
      <c r="J31" s="45">
        <f t="shared" si="30"/>
        <v>30950</v>
      </c>
      <c r="K31" s="45">
        <f t="shared" si="30"/>
        <v>32500</v>
      </c>
      <c r="L31" s="45">
        <f t="shared" si="30"/>
        <v>34130</v>
      </c>
    </row>
    <row r="32" spans="1:12" x14ac:dyDescent="0.25">
      <c r="A32" s="43" t="s">
        <v>406</v>
      </c>
      <c r="B32" s="33" t="str">
        <f>B22</f>
        <v>Bran</v>
      </c>
      <c r="C32" s="42">
        <v>18000</v>
      </c>
      <c r="D32" s="45">
        <f>ROUND(C32*1.05,-1)</f>
        <v>18900</v>
      </c>
      <c r="E32" s="45">
        <f t="shared" ref="E32:L32" si="31">ROUND(D32*1.05,-1)</f>
        <v>19850</v>
      </c>
      <c r="F32" s="45">
        <f t="shared" si="31"/>
        <v>20840</v>
      </c>
      <c r="G32" s="45">
        <f t="shared" si="31"/>
        <v>21880</v>
      </c>
      <c r="H32" s="45">
        <f t="shared" si="31"/>
        <v>22970</v>
      </c>
      <c r="I32" s="45">
        <f t="shared" si="31"/>
        <v>24120</v>
      </c>
      <c r="J32" s="45">
        <f t="shared" si="31"/>
        <v>25330</v>
      </c>
      <c r="K32" s="45">
        <f t="shared" si="31"/>
        <v>26600</v>
      </c>
      <c r="L32" s="45">
        <f t="shared" si="31"/>
        <v>27930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8" t="s">
        <v>79</v>
      </c>
      <c r="B34" s="8" t="str">
        <f>B29</f>
        <v>Polished Rice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36" t="s">
        <v>71</v>
      </c>
      <c r="C35" s="42">
        <v>0</v>
      </c>
      <c r="D35" s="42">
        <f>C36</f>
        <v>3.6</v>
      </c>
      <c r="E35" s="42">
        <f>D36</f>
        <v>4.7249999999999996</v>
      </c>
      <c r="F35" s="42">
        <f t="shared" ref="F35:I35" si="32">E36</f>
        <v>4.9610000000000003</v>
      </c>
      <c r="G35" s="42">
        <f t="shared" si="32"/>
        <v>5.7298999999999998</v>
      </c>
      <c r="H35" s="42">
        <f t="shared" si="32"/>
        <v>6.5628000000000002</v>
      </c>
      <c r="I35" s="42">
        <f t="shared" si="32"/>
        <v>7.4645999999999999</v>
      </c>
      <c r="J35" s="42">
        <f t="shared" ref="J35" si="33">I36</f>
        <v>8.4405999999999999</v>
      </c>
      <c r="K35" s="42">
        <f t="shared" ref="K35" si="34">J36</f>
        <v>9.4949999999999992</v>
      </c>
      <c r="L35" s="42">
        <f t="shared" ref="L35" si="35">K36</f>
        <v>10.635199999999999</v>
      </c>
    </row>
    <row r="36" spans="1:12" x14ac:dyDescent="0.25">
      <c r="A36" s="6"/>
      <c r="B36" s="36" t="s">
        <v>72</v>
      </c>
      <c r="C36" s="42">
        <f>C8*C29/100000</f>
        <v>3.6</v>
      </c>
      <c r="D36" s="42">
        <f t="shared" ref="D36:I36" si="36">D8*D29/100000</f>
        <v>4.7249999999999996</v>
      </c>
      <c r="E36" s="42">
        <f t="shared" si="36"/>
        <v>4.9610000000000003</v>
      </c>
      <c r="F36" s="42">
        <f t="shared" si="36"/>
        <v>5.7298999999999998</v>
      </c>
      <c r="G36" s="42">
        <f t="shared" si="36"/>
        <v>6.5628000000000002</v>
      </c>
      <c r="H36" s="42">
        <f t="shared" si="36"/>
        <v>7.4645999999999999</v>
      </c>
      <c r="I36" s="42">
        <f t="shared" si="36"/>
        <v>8.4405999999999999</v>
      </c>
      <c r="J36" s="42">
        <f t="shared" ref="J36:L36" si="37">J8*J29/100000</f>
        <v>9.4949999999999992</v>
      </c>
      <c r="K36" s="42">
        <f t="shared" si="37"/>
        <v>10.635199999999999</v>
      </c>
      <c r="L36" s="42">
        <f t="shared" si="37"/>
        <v>11.8643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8" t="s">
        <v>84</v>
      </c>
      <c r="B38" s="8" t="str">
        <f>B10</f>
        <v>Husk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36" t="s">
        <v>71</v>
      </c>
      <c r="C39" s="42">
        <v>0</v>
      </c>
      <c r="D39" s="42">
        <f>C40</f>
        <v>0.03</v>
      </c>
      <c r="E39" s="42">
        <f>D40</f>
        <v>4.2000000000000003E-2</v>
      </c>
      <c r="F39" s="42">
        <f t="shared" ref="F39:I39" si="38">E40</f>
        <v>4.3999999999999997E-2</v>
      </c>
      <c r="G39" s="42">
        <f t="shared" si="38"/>
        <v>5.8000000000000003E-2</v>
      </c>
      <c r="H39" s="42">
        <f t="shared" si="38"/>
        <v>6.0999999999999999E-2</v>
      </c>
      <c r="I39" s="42">
        <f t="shared" si="38"/>
        <v>6.4000000000000001E-2</v>
      </c>
      <c r="J39" s="42">
        <f t="shared" ref="J39" si="39">I40</f>
        <v>8.0399999999999999E-2</v>
      </c>
      <c r="K39" s="42">
        <f t="shared" ref="K39" si="40">J40</f>
        <v>8.4599999999999995E-2</v>
      </c>
      <c r="L39" s="42">
        <f t="shared" ref="L39" si="41">K40</f>
        <v>8.8800000000000004E-2</v>
      </c>
    </row>
    <row r="40" spans="1:12" x14ac:dyDescent="0.25">
      <c r="A40" s="6"/>
      <c r="B40" s="36" t="s">
        <v>72</v>
      </c>
      <c r="C40" s="42">
        <f>C30*C14/100000</f>
        <v>0.03</v>
      </c>
      <c r="D40" s="42">
        <f t="shared" ref="D40:I40" si="42">D30*D14/100000</f>
        <v>4.2000000000000003E-2</v>
      </c>
      <c r="E40" s="42">
        <f t="shared" si="42"/>
        <v>4.3999999999999997E-2</v>
      </c>
      <c r="F40" s="42">
        <f t="shared" si="42"/>
        <v>5.8000000000000003E-2</v>
      </c>
      <c r="G40" s="42">
        <f t="shared" si="42"/>
        <v>6.0999999999999999E-2</v>
      </c>
      <c r="H40" s="42">
        <f t="shared" si="42"/>
        <v>6.4000000000000001E-2</v>
      </c>
      <c r="I40" s="42">
        <f t="shared" si="42"/>
        <v>8.0399999999999999E-2</v>
      </c>
      <c r="J40" s="42">
        <f t="shared" ref="J40:L40" si="43">J30*J14/100000</f>
        <v>8.4599999999999995E-2</v>
      </c>
      <c r="K40" s="42">
        <f t="shared" si="43"/>
        <v>8.8800000000000004E-2</v>
      </c>
      <c r="L40" s="42">
        <f t="shared" si="43"/>
        <v>0.1085</v>
      </c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8" t="s">
        <v>85</v>
      </c>
      <c r="B42" s="8" t="str">
        <f>B16</f>
        <v>Broken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36" t="s">
        <v>71</v>
      </c>
      <c r="C43" s="42">
        <v>0</v>
      </c>
      <c r="D43" s="42">
        <f>C44</f>
        <v>0.66</v>
      </c>
      <c r="E43" s="42">
        <f>D44</f>
        <v>0.92400000000000004</v>
      </c>
      <c r="F43" s="42">
        <f t="shared" ref="F43:I43" si="44">E44</f>
        <v>0.97040000000000004</v>
      </c>
      <c r="G43" s="42">
        <f t="shared" si="44"/>
        <v>1.2735000000000001</v>
      </c>
      <c r="H43" s="42">
        <f t="shared" si="44"/>
        <v>1.337</v>
      </c>
      <c r="I43" s="42">
        <f t="shared" si="44"/>
        <v>1.4039999999999999</v>
      </c>
      <c r="J43" s="42">
        <f t="shared" ref="J43" si="45">I44</f>
        <v>1.7687999999999999</v>
      </c>
      <c r="K43" s="42">
        <f t="shared" ref="K43" si="46">J44</f>
        <v>1.857</v>
      </c>
      <c r="L43" s="42">
        <f t="shared" ref="L43" si="47">K44</f>
        <v>1.95</v>
      </c>
    </row>
    <row r="44" spans="1:12" x14ac:dyDescent="0.25">
      <c r="A44" s="6"/>
      <c r="B44" s="36" t="s">
        <v>72</v>
      </c>
      <c r="C44" s="42">
        <f>C31*C20/100000</f>
        <v>0.66</v>
      </c>
      <c r="D44" s="42">
        <f t="shared" ref="D44:I44" si="48">D31*D20/100000</f>
        <v>0.92400000000000004</v>
      </c>
      <c r="E44" s="42">
        <f t="shared" si="48"/>
        <v>0.97040000000000004</v>
      </c>
      <c r="F44" s="42">
        <f t="shared" si="48"/>
        <v>1.2735000000000001</v>
      </c>
      <c r="G44" s="42">
        <f t="shared" si="48"/>
        <v>1.337</v>
      </c>
      <c r="H44" s="42">
        <f t="shared" si="48"/>
        <v>1.4039999999999999</v>
      </c>
      <c r="I44" s="42">
        <f t="shared" si="48"/>
        <v>1.7687999999999999</v>
      </c>
      <c r="J44" s="42">
        <f t="shared" ref="J44:L44" si="49">J31*J20/100000</f>
        <v>1.857</v>
      </c>
      <c r="K44" s="42">
        <f t="shared" si="49"/>
        <v>1.95</v>
      </c>
      <c r="L44" s="42">
        <f t="shared" si="49"/>
        <v>2.3891</v>
      </c>
    </row>
    <row r="45" spans="1:12" x14ac:dyDescent="0.25">
      <c r="A45" s="6"/>
      <c r="B45" s="36"/>
      <c r="C45" s="42"/>
      <c r="D45" s="42"/>
      <c r="E45" s="42"/>
      <c r="F45" s="42"/>
      <c r="G45" s="42"/>
      <c r="H45" s="42"/>
      <c r="I45" s="42"/>
      <c r="J45" s="6"/>
      <c r="K45" s="6"/>
      <c r="L45" s="6"/>
    </row>
    <row r="46" spans="1:12" x14ac:dyDescent="0.25">
      <c r="A46" s="6" t="s">
        <v>406</v>
      </c>
      <c r="B46" s="8" t="str">
        <f>B22</f>
        <v>Bran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36" t="s">
        <v>71</v>
      </c>
      <c r="C47" s="42">
        <v>0</v>
      </c>
      <c r="D47" s="42">
        <f>C48</f>
        <v>0.18</v>
      </c>
      <c r="E47" s="42">
        <f>D48</f>
        <v>0.189</v>
      </c>
      <c r="F47" s="42">
        <f t="shared" ref="F47" si="50">E48</f>
        <v>0.39700000000000002</v>
      </c>
      <c r="G47" s="42">
        <f t="shared" ref="G47" si="51">F48</f>
        <v>0.4168</v>
      </c>
      <c r="H47" s="42">
        <f t="shared" ref="H47" si="52">G48</f>
        <v>0.43759999999999999</v>
      </c>
      <c r="I47" s="42">
        <f t="shared" ref="I47" si="53">H48</f>
        <v>0.45939999999999998</v>
      </c>
      <c r="J47" s="42">
        <f t="shared" ref="J47" si="54">I48</f>
        <v>0.4824</v>
      </c>
      <c r="K47" s="42">
        <f t="shared" ref="K47" si="55">J48</f>
        <v>0.50660000000000005</v>
      </c>
      <c r="L47" s="42">
        <f t="shared" ref="L47" si="56">K48</f>
        <v>0.53200000000000003</v>
      </c>
    </row>
    <row r="48" spans="1:12" x14ac:dyDescent="0.25">
      <c r="A48" s="6"/>
      <c r="B48" s="36" t="s">
        <v>72</v>
      </c>
      <c r="C48" s="42">
        <f>C32*C26/100000</f>
        <v>0.18</v>
      </c>
      <c r="D48" s="42">
        <f t="shared" ref="D48:L48" si="57">D32*D26/100000</f>
        <v>0.189</v>
      </c>
      <c r="E48" s="42">
        <f t="shared" si="57"/>
        <v>0.39700000000000002</v>
      </c>
      <c r="F48" s="42">
        <f t="shared" si="57"/>
        <v>0.4168</v>
      </c>
      <c r="G48" s="42">
        <f t="shared" si="57"/>
        <v>0.43759999999999999</v>
      </c>
      <c r="H48" s="42">
        <f t="shared" si="57"/>
        <v>0.45939999999999998</v>
      </c>
      <c r="I48" s="42">
        <f t="shared" si="57"/>
        <v>0.4824</v>
      </c>
      <c r="J48" s="42">
        <f t="shared" si="57"/>
        <v>0.50660000000000005</v>
      </c>
      <c r="K48" s="42">
        <f t="shared" si="57"/>
        <v>0.53200000000000003</v>
      </c>
      <c r="L48" s="42">
        <f t="shared" si="57"/>
        <v>0.83789999999999998</v>
      </c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8" t="s">
        <v>87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26" t="s">
        <v>71</v>
      </c>
      <c r="C51" s="41">
        <f>C35+C39+C43+C47</f>
        <v>0</v>
      </c>
      <c r="D51" s="41">
        <f t="shared" ref="D51:L51" si="58">D35+D39+D43+D47</f>
        <v>4.47</v>
      </c>
      <c r="E51" s="41">
        <f t="shared" si="58"/>
        <v>5.88</v>
      </c>
      <c r="F51" s="41">
        <f t="shared" si="58"/>
        <v>6.3723999999999998</v>
      </c>
      <c r="G51" s="41">
        <f t="shared" si="58"/>
        <v>7.4782000000000002</v>
      </c>
      <c r="H51" s="41">
        <f t="shared" si="58"/>
        <v>8.3984000000000005</v>
      </c>
      <c r="I51" s="41">
        <f t="shared" si="58"/>
        <v>9.3920000000000012</v>
      </c>
      <c r="J51" s="41">
        <f t="shared" si="58"/>
        <v>10.7722</v>
      </c>
      <c r="K51" s="41">
        <f t="shared" si="58"/>
        <v>11.943199999999999</v>
      </c>
      <c r="L51" s="41">
        <f t="shared" si="58"/>
        <v>13.206</v>
      </c>
    </row>
    <row r="52" spans="1:12" x14ac:dyDescent="0.25">
      <c r="A52" s="6"/>
      <c r="B52" s="26" t="s">
        <v>72</v>
      </c>
      <c r="C52" s="41">
        <f>C36+C40+C44+C48</f>
        <v>4.47</v>
      </c>
      <c r="D52" s="41">
        <f t="shared" ref="D52:L52" si="59">D36+D40+D44+D48</f>
        <v>5.88</v>
      </c>
      <c r="E52" s="41">
        <f t="shared" si="59"/>
        <v>6.3723999999999998</v>
      </c>
      <c r="F52" s="41">
        <f t="shared" si="59"/>
        <v>7.4782000000000002</v>
      </c>
      <c r="G52" s="41">
        <f t="shared" si="59"/>
        <v>8.3984000000000005</v>
      </c>
      <c r="H52" s="41">
        <f t="shared" si="59"/>
        <v>9.3920000000000012</v>
      </c>
      <c r="I52" s="41">
        <f t="shared" si="59"/>
        <v>10.7722</v>
      </c>
      <c r="J52" s="41">
        <f t="shared" si="59"/>
        <v>11.943199999999999</v>
      </c>
      <c r="K52" s="41">
        <f t="shared" si="59"/>
        <v>13.206</v>
      </c>
      <c r="L52" s="41">
        <f t="shared" si="59"/>
        <v>15.199799999999998</v>
      </c>
    </row>
    <row r="54" spans="1:12" x14ac:dyDescent="0.25">
      <c r="C54" s="25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5</vt:i4>
      </vt:variant>
    </vt:vector>
  </HeadingPairs>
  <TitlesOfParts>
    <vt:vector size="44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Manpower Schedule</vt:lpstr>
      <vt:lpstr>weigh Bridge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cp:lastPrinted>2022-05-18T14:23:34Z</cp:lastPrinted>
  <dcterms:created xsi:type="dcterms:W3CDTF">2020-07-01T05:43:42Z</dcterms:created>
  <dcterms:modified xsi:type="dcterms:W3CDTF">2022-05-18T14:41:54Z</dcterms:modified>
</cp:coreProperties>
</file>